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habrolle/Documents/_MNHN/14_Politique Publique/DCSMM/6_evaluation/Cycle 3_2024/JDD formul metadata_BEE/Donnees Sources/ABONDANCE/Synthese Effectifs Nicheurs 2015-2021/"/>
    </mc:Choice>
  </mc:AlternateContent>
  <xr:revisionPtr revIDLastSave="0" documentId="13_ncr:1_{FCC3F4B7-9FE0-A743-8D79-853A42808CE0}" xr6:coauthVersionLast="47" xr6:coauthVersionMax="47" xr10:uidLastSave="{00000000-0000-0000-0000-000000000000}"/>
  <bookViews>
    <workbookView xWindow="0" yWindow="500" windowWidth="28800" windowHeight="16340" xr2:uid="{375ED2C5-3996-447D-921C-D9D349A396B7}"/>
  </bookViews>
  <sheets>
    <sheet name="Feuil1" sheetId="1" r:id="rId1"/>
  </sheets>
  <definedNames>
    <definedName name="_xlnm._FilterDatabase" localSheetId="0" hidden="1">Feuil1!$A$1:$F$240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2" i="1" l="1"/>
  <c r="E150" i="1"/>
  <c r="D150" i="1"/>
  <c r="E110" i="1"/>
  <c r="D110" i="1"/>
  <c r="E72" i="1"/>
  <c r="D72" i="1"/>
  <c r="E31" i="1"/>
  <c r="D31" i="1"/>
  <c r="F190" i="1"/>
  <c r="E149" i="1"/>
  <c r="D149" i="1"/>
  <c r="E109" i="1"/>
  <c r="D109" i="1"/>
  <c r="E71" i="1"/>
  <c r="D71" i="1"/>
  <c r="E30" i="1"/>
  <c r="D30" i="1"/>
  <c r="E189" i="1"/>
  <c r="D189" i="1"/>
  <c r="F229" i="1"/>
  <c r="F228" i="1"/>
  <c r="F227" i="1"/>
  <c r="F226" i="1"/>
  <c r="F225" i="1"/>
  <c r="F224" i="1"/>
  <c r="F223" i="1"/>
  <c r="F222" i="1"/>
  <c r="F221" i="1"/>
  <c r="F220" i="1"/>
  <c r="F188" i="1"/>
  <c r="F148" i="1"/>
  <c r="F219" i="1"/>
  <c r="E187" i="1"/>
  <c r="D187" i="1"/>
  <c r="E147" i="1"/>
  <c r="D147" i="1"/>
  <c r="F218" i="1"/>
  <c r="E186" i="1"/>
  <c r="D186" i="1"/>
  <c r="F186" i="1" s="1"/>
  <c r="E146" i="1"/>
  <c r="D146" i="1"/>
  <c r="D217" i="1"/>
  <c r="F217" i="1" s="1"/>
  <c r="D216" i="1"/>
  <c r="F216" i="1" s="1"/>
  <c r="E185" i="1"/>
  <c r="D185" i="1"/>
  <c r="D184" i="1"/>
  <c r="F184" i="1" s="1"/>
  <c r="E145" i="1"/>
  <c r="D145" i="1"/>
  <c r="D144" i="1"/>
  <c r="F144" i="1" s="1"/>
  <c r="F215" i="1"/>
  <c r="F214" i="1"/>
  <c r="D213" i="1"/>
  <c r="F213" i="1" s="1"/>
  <c r="F183" i="1"/>
  <c r="F182" i="1"/>
  <c r="D181" i="1"/>
  <c r="F181" i="1" s="1"/>
  <c r="F143" i="1"/>
  <c r="F142" i="1"/>
  <c r="F141" i="1"/>
  <c r="F212" i="1"/>
  <c r="E211" i="1"/>
  <c r="D211" i="1"/>
  <c r="E210" i="1"/>
  <c r="D210" i="1"/>
  <c r="E209" i="1"/>
  <c r="D209" i="1"/>
  <c r="F180" i="1"/>
  <c r="F140" i="1"/>
  <c r="E179" i="1"/>
  <c r="D179" i="1"/>
  <c r="E178" i="1"/>
  <c r="D178" i="1"/>
  <c r="E177" i="1"/>
  <c r="D177" i="1"/>
  <c r="E139" i="1"/>
  <c r="D139" i="1"/>
  <c r="E138" i="1"/>
  <c r="D138" i="1"/>
  <c r="D137" i="1"/>
  <c r="F137" i="1" s="1"/>
  <c r="D207" i="1"/>
  <c r="F207" i="1" s="1"/>
  <c r="D206" i="1"/>
  <c r="F206" i="1" s="1"/>
  <c r="E205" i="1"/>
  <c r="D205" i="1"/>
  <c r="F176" i="1"/>
  <c r="D175" i="1"/>
  <c r="F175" i="1" s="1"/>
  <c r="D174" i="1"/>
  <c r="F174" i="1" s="1"/>
  <c r="E173" i="1"/>
  <c r="D173" i="1"/>
  <c r="E136" i="1"/>
  <c r="D136" i="1"/>
  <c r="E135" i="1"/>
  <c r="D135" i="1"/>
  <c r="D134" i="1"/>
  <c r="F134" i="1" s="1"/>
  <c r="E133" i="1"/>
  <c r="D133" i="1"/>
  <c r="F204" i="1"/>
  <c r="E172" i="1"/>
  <c r="D172" i="1"/>
  <c r="F132" i="1"/>
  <c r="F203" i="1"/>
  <c r="F202" i="1"/>
  <c r="F201" i="1"/>
  <c r="E171" i="1"/>
  <c r="D171" i="1"/>
  <c r="E170" i="1"/>
  <c r="D170" i="1"/>
  <c r="E169" i="1"/>
  <c r="D169" i="1"/>
  <c r="E131" i="1"/>
  <c r="D131" i="1"/>
  <c r="E130" i="1"/>
  <c r="D130" i="1"/>
  <c r="E129" i="1"/>
  <c r="D129" i="1"/>
  <c r="F200" i="1"/>
  <c r="F128" i="1"/>
  <c r="E127" i="1"/>
  <c r="D127" i="1"/>
  <c r="F166" i="1"/>
  <c r="F126" i="1"/>
  <c r="D165" i="1"/>
  <c r="F165" i="1" s="1"/>
  <c r="E164" i="1"/>
  <c r="D164" i="1"/>
  <c r="D125" i="1"/>
  <c r="F125" i="1" s="1"/>
  <c r="E124" i="1"/>
  <c r="D124" i="1"/>
  <c r="E162" i="1"/>
  <c r="D162" i="1"/>
  <c r="E122" i="1"/>
  <c r="D122" i="1"/>
  <c r="D161" i="1"/>
  <c r="F161" i="1" s="1"/>
  <c r="E160" i="1"/>
  <c r="D160" i="1"/>
  <c r="E159" i="1"/>
  <c r="D159" i="1"/>
  <c r="D121" i="1"/>
  <c r="F121" i="1" s="1"/>
  <c r="E120" i="1"/>
  <c r="D120" i="1"/>
  <c r="E119" i="1"/>
  <c r="D119" i="1"/>
  <c r="E108" i="1"/>
  <c r="D108" i="1"/>
  <c r="E70" i="1"/>
  <c r="D70" i="1"/>
  <c r="E29" i="1"/>
  <c r="D29" i="1"/>
  <c r="E107" i="1"/>
  <c r="D107" i="1"/>
  <c r="E69" i="1"/>
  <c r="D69" i="1"/>
  <c r="E28" i="1"/>
  <c r="D28" i="1"/>
  <c r="E106" i="1"/>
  <c r="D106" i="1"/>
  <c r="E68" i="1"/>
  <c r="D68" i="1"/>
  <c r="E27" i="1"/>
  <c r="D27" i="1"/>
  <c r="E105" i="1"/>
  <c r="D105" i="1"/>
  <c r="D104" i="1"/>
  <c r="F104" i="1" s="1"/>
  <c r="F67" i="1"/>
  <c r="D66" i="1"/>
  <c r="F66" i="1" s="1"/>
  <c r="E26" i="1"/>
  <c r="D26" i="1"/>
  <c r="E25" i="1"/>
  <c r="D25" i="1"/>
  <c r="F103" i="1"/>
  <c r="F102" i="1"/>
  <c r="F65" i="1"/>
  <c r="D64" i="1"/>
  <c r="F64" i="1" s="1"/>
  <c r="F63" i="1"/>
  <c r="F24" i="1"/>
  <c r="D23" i="1"/>
  <c r="F23" i="1" s="1"/>
  <c r="E101" i="1"/>
  <c r="D101" i="1"/>
  <c r="E100" i="1"/>
  <c r="D100" i="1"/>
  <c r="E99" i="1"/>
  <c r="D99" i="1"/>
  <c r="F62" i="1"/>
  <c r="E61" i="1"/>
  <c r="D61" i="1"/>
  <c r="E60" i="1"/>
  <c r="D60" i="1"/>
  <c r="E59" i="1"/>
  <c r="D59" i="1"/>
  <c r="E21" i="1"/>
  <c r="D21" i="1"/>
  <c r="E20" i="1"/>
  <c r="D20" i="1"/>
  <c r="E19" i="1"/>
  <c r="D19" i="1"/>
  <c r="F98" i="1"/>
  <c r="E97" i="1"/>
  <c r="D97" i="1"/>
  <c r="D96" i="1"/>
  <c r="F96" i="1" s="1"/>
  <c r="E95" i="1"/>
  <c r="D95" i="1"/>
  <c r="F58" i="1"/>
  <c r="E57" i="1"/>
  <c r="D57" i="1"/>
  <c r="E56" i="1"/>
  <c r="D56" i="1"/>
  <c r="E55" i="1"/>
  <c r="D55" i="1"/>
  <c r="E18" i="1"/>
  <c r="D18" i="1"/>
  <c r="E17" i="1"/>
  <c r="D17" i="1"/>
  <c r="D16" i="1"/>
  <c r="F16" i="1" s="1"/>
  <c r="F94" i="1"/>
  <c r="F54" i="1"/>
  <c r="F15" i="1"/>
  <c r="E93" i="1"/>
  <c r="D93" i="1"/>
  <c r="E92" i="1"/>
  <c r="D92" i="1"/>
  <c r="E91" i="1"/>
  <c r="D91" i="1"/>
  <c r="E53" i="1"/>
  <c r="D53" i="1"/>
  <c r="E52" i="1"/>
  <c r="D52" i="1"/>
  <c r="E51" i="1"/>
  <c r="D51" i="1"/>
  <c r="E14" i="1"/>
  <c r="D14" i="1"/>
  <c r="E13" i="1"/>
  <c r="D13" i="1"/>
  <c r="E12" i="1"/>
  <c r="D12" i="1"/>
  <c r="F90" i="1"/>
  <c r="D89" i="1"/>
  <c r="F89" i="1" s="1"/>
  <c r="F50" i="1"/>
  <c r="D49" i="1"/>
  <c r="F49" i="1" s="1"/>
  <c r="D11" i="1"/>
  <c r="F11" i="1" s="1"/>
  <c r="E10" i="1"/>
  <c r="D10" i="1"/>
  <c r="F48" i="1"/>
  <c r="F9" i="1"/>
  <c r="F87" i="1"/>
  <c r="E86" i="1"/>
  <c r="D86" i="1"/>
  <c r="D47" i="1"/>
  <c r="F47" i="1" s="1"/>
  <c r="E46" i="1"/>
  <c r="D46" i="1"/>
  <c r="F8" i="1"/>
  <c r="E7" i="1"/>
  <c r="D7" i="1"/>
  <c r="F85" i="1"/>
  <c r="E84" i="1"/>
  <c r="D84" i="1"/>
  <c r="F45" i="1"/>
  <c r="E44" i="1"/>
  <c r="D44" i="1"/>
  <c r="D6" i="1"/>
  <c r="F6" i="1" s="1"/>
  <c r="E5" i="1"/>
  <c r="D5" i="1"/>
  <c r="D83" i="1"/>
  <c r="F83" i="1" s="1"/>
  <c r="E82" i="1"/>
  <c r="D82" i="1"/>
  <c r="E81" i="1"/>
  <c r="D81" i="1"/>
  <c r="E43" i="1"/>
  <c r="D43" i="1"/>
  <c r="E42" i="1"/>
  <c r="D42" i="1"/>
  <c r="E41" i="1"/>
  <c r="D41" i="1"/>
  <c r="E4" i="1"/>
  <c r="D4" i="1"/>
  <c r="E3" i="1"/>
  <c r="D3" i="1"/>
  <c r="E2" i="1"/>
  <c r="D2" i="1"/>
  <c r="F209" i="1" l="1"/>
  <c r="F86" i="1"/>
  <c r="F189" i="1"/>
  <c r="F150" i="1"/>
  <c r="F30" i="1"/>
  <c r="F10" i="1"/>
  <c r="F20" i="1"/>
  <c r="F31" i="1"/>
  <c r="F101" i="1"/>
  <c r="F55" i="1"/>
  <c r="F131" i="1"/>
  <c r="F42" i="1"/>
  <c r="F91" i="1"/>
  <c r="F56" i="1"/>
  <c r="F21" i="1"/>
  <c r="F169" i="1"/>
  <c r="F135" i="1"/>
  <c r="F211" i="1"/>
  <c r="F139" i="1"/>
  <c r="F43" i="1"/>
  <c r="F120" i="1"/>
  <c r="F28" i="1"/>
  <c r="F29" i="1"/>
  <c r="F129" i="1"/>
  <c r="F205" i="1"/>
  <c r="F187" i="1"/>
  <c r="F68" i="1"/>
  <c r="F71" i="1"/>
  <c r="F106" i="1"/>
  <c r="F12" i="1"/>
  <c r="F93" i="1"/>
  <c r="F82" i="1"/>
  <c r="F26" i="1"/>
  <c r="F5" i="1"/>
  <c r="F17" i="1"/>
  <c r="F19" i="1"/>
  <c r="F44" i="1"/>
  <c r="F18" i="1"/>
  <c r="F105" i="1"/>
  <c r="F171" i="1"/>
  <c r="F173" i="1"/>
  <c r="F127" i="1"/>
  <c r="F146" i="1"/>
  <c r="F109" i="1"/>
  <c r="F51" i="1"/>
  <c r="F107" i="1"/>
  <c r="F160" i="1"/>
  <c r="F172" i="1"/>
  <c r="F70" i="1"/>
  <c r="F130" i="1"/>
  <c r="F108" i="1"/>
  <c r="F124" i="1"/>
  <c r="F133" i="1"/>
  <c r="F210" i="1"/>
  <c r="F145" i="1"/>
  <c r="F81" i="1"/>
  <c r="F92" i="1"/>
  <c r="F138" i="1"/>
  <c r="F95" i="1"/>
  <c r="F61" i="1"/>
  <c r="F25" i="1"/>
  <c r="F136" i="1"/>
  <c r="F53" i="1"/>
  <c r="F100" i="1"/>
  <c r="F69" i="1"/>
  <c r="F159" i="1"/>
  <c r="F170" i="1"/>
  <c r="F149" i="1"/>
  <c r="F147" i="1"/>
  <c r="F7" i="1"/>
  <c r="F2" i="1"/>
  <c r="F3" i="1"/>
  <c r="F46" i="1"/>
  <c r="F177" i="1"/>
  <c r="F57" i="1"/>
  <c r="F122" i="1"/>
  <c r="F185" i="1"/>
  <c r="F4" i="1"/>
  <c r="F13" i="1"/>
  <c r="F59" i="1"/>
  <c r="F27" i="1"/>
  <c r="F178" i="1"/>
  <c r="F72" i="1"/>
  <c r="F41" i="1"/>
  <c r="F14" i="1"/>
  <c r="F60" i="1"/>
  <c r="F162" i="1"/>
  <c r="F179" i="1"/>
  <c r="F110" i="1"/>
  <c r="F119" i="1"/>
  <c r="F97" i="1"/>
  <c r="F164" i="1"/>
  <c r="F84" i="1"/>
  <c r="F52" i="1"/>
  <c r="F99" i="1"/>
</calcChain>
</file>

<file path=xl/sharedStrings.xml><?xml version="1.0" encoding="utf-8"?>
<sst xmlns="http://schemas.openxmlformats.org/spreadsheetml/2006/main" count="510" uniqueCount="31">
  <si>
    <t>SRM</t>
  </si>
  <si>
    <t>Year</t>
  </si>
  <si>
    <t>Species</t>
  </si>
  <si>
    <t>Min</t>
  </si>
  <si>
    <t>Max</t>
  </si>
  <si>
    <t>Moyenne</t>
  </si>
  <si>
    <t>MMN</t>
  </si>
  <si>
    <t>Fulmar boreal</t>
  </si>
  <si>
    <t>MC</t>
  </si>
  <si>
    <t>GdG_N</t>
  </si>
  <si>
    <t>Puffin des anglais</t>
  </si>
  <si>
    <t>Oceanite tempete</t>
  </si>
  <si>
    <t>Fou de Bassan</t>
  </si>
  <si>
    <t>Grand cormoran</t>
  </si>
  <si>
    <t>Cormoran huppe</t>
  </si>
  <si>
    <t>Mouette tridactyle</t>
  </si>
  <si>
    <t>Sterne caugek</t>
  </si>
  <si>
    <t>Guillemot de Troïl</t>
  </si>
  <si>
    <t>Pingouin torda</t>
  </si>
  <si>
    <t>Macareux moine</t>
  </si>
  <si>
    <t>Sterne pierregarin</t>
  </si>
  <si>
    <t>Sterne de dougall</t>
  </si>
  <si>
    <t>Sterne naine</t>
  </si>
  <si>
    <t>-</t>
  </si>
  <si>
    <t>GdG_S</t>
  </si>
  <si>
    <t>Goéland d'Audouin</t>
  </si>
  <si>
    <t>Goéland railleur</t>
  </si>
  <si>
    <t>Mouette mélanocéphale</t>
  </si>
  <si>
    <t>Mouette rieuse</t>
  </si>
  <si>
    <t>Sterne hansel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</si>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</sst>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7409-A181-47EE-8C1D-2299B2E4A692}">
  <dimension ref="A1:F240"/>
  <sheetViews>
    <sheetView tabSelected="1" zoomScale="160" zoomScaleNormal="160" workbookViewId="0">
      <selection activeCell="I9" sqref="I9"/>
    </sheetView>
  </sheetViews>
  <sheetFormatPr baseColWidth="10" defaultRowHeight="15" x14ac:dyDescent="0.2"/>
  <cols>
    <col min="1" max="1" width="11.5" style="4"/>
    <col min="2" max="2" width="17.1640625" style="4" bestFit="1" customWidth="1"/>
    <col min="3" max="3" width="5.5" style="4" bestFit="1" customWidth="1"/>
    <col min="4" max="6" width="11.5" style="4"/>
    <col min="7" max="16384" width="10.83203125" style="3"/>
  </cols>
  <sheetData>
    <row r="1" spans="1:6" x14ac:dyDescent="0.2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</row>
    <row r="2" spans="1:6" x14ac:dyDescent="0.2">
      <c r="A2" s="1" t="s">
        <v>6</v>
      </c>
      <c r="B2" s="1" t="s">
        <v>7</v>
      </c>
      <c r="C2" s="1">
        <v>2016</v>
      </c>
      <c r="D2" s="1">
        <f>88+36+20+20+45</f>
        <v>209</v>
      </c>
      <c r="E2" s="1">
        <f>88+36+20+20+45</f>
        <v>209</v>
      </c>
      <c r="F2" s="1">
        <f t="shared" ref="F2:F21" si="0">AVERAGE(D2:E2)</f>
        <v>209</v>
      </c>
    </row>
    <row r="3" spans="1:6" x14ac:dyDescent="0.2">
      <c r="A3" s="1" t="s">
        <v>8</v>
      </c>
      <c r="B3" s="1" t="s">
        <v>7</v>
      </c>
      <c r="C3" s="1">
        <v>2016</v>
      </c>
      <c r="D3" s="1">
        <f>9+5+89+102+2+19</f>
        <v>226</v>
      </c>
      <c r="E3" s="1">
        <f>10+6+90+102+2+19</f>
        <v>229</v>
      </c>
      <c r="F3" s="1">
        <f t="shared" si="0"/>
        <v>227.5</v>
      </c>
    </row>
    <row r="4" spans="1:6" x14ac:dyDescent="0.2">
      <c r="A4" s="1" t="s">
        <v>9</v>
      </c>
      <c r="B4" s="1" t="s">
        <v>7</v>
      </c>
      <c r="C4" s="1">
        <v>2016</v>
      </c>
      <c r="D4" s="1">
        <f>5+7</f>
        <v>12</v>
      </c>
      <c r="E4" s="1">
        <f>5+7</f>
        <v>12</v>
      </c>
      <c r="F4" s="1">
        <f t="shared" si="0"/>
        <v>12</v>
      </c>
    </row>
    <row r="5" spans="1:6" x14ac:dyDescent="0.2">
      <c r="A5" s="1" t="s">
        <v>8</v>
      </c>
      <c r="B5" s="1" t="s">
        <v>10</v>
      </c>
      <c r="C5" s="1">
        <v>2016</v>
      </c>
      <c r="D5" s="1">
        <f>185+45</f>
        <v>230</v>
      </c>
      <c r="E5" s="1">
        <f>340+49</f>
        <v>389</v>
      </c>
      <c r="F5" s="1">
        <f t="shared" si="0"/>
        <v>309.5</v>
      </c>
    </row>
    <row r="6" spans="1:6" x14ac:dyDescent="0.2">
      <c r="A6" s="1" t="s">
        <v>9</v>
      </c>
      <c r="B6" s="1" t="s">
        <v>10</v>
      </c>
      <c r="C6" s="1">
        <v>2016</v>
      </c>
      <c r="D6" s="1">
        <f>2</f>
        <v>2</v>
      </c>
      <c r="E6" s="1">
        <v>3</v>
      </c>
      <c r="F6" s="1">
        <f t="shared" si="0"/>
        <v>2.5</v>
      </c>
    </row>
    <row r="7" spans="1:6" x14ac:dyDescent="0.2">
      <c r="A7" s="1" t="s">
        <v>8</v>
      </c>
      <c r="B7" s="1" t="s">
        <v>11</v>
      </c>
      <c r="C7" s="1">
        <v>2016</v>
      </c>
      <c r="D7" s="1">
        <f>122+1+880+51+1</f>
        <v>1055</v>
      </c>
      <c r="E7" s="1">
        <f>126+2+940+51+1</f>
        <v>1120</v>
      </c>
      <c r="F7" s="1">
        <f t="shared" si="0"/>
        <v>1087.5</v>
      </c>
    </row>
    <row r="8" spans="1:6" x14ac:dyDescent="0.2">
      <c r="A8" s="1" t="s">
        <v>9</v>
      </c>
      <c r="B8" s="1" t="s">
        <v>11</v>
      </c>
      <c r="C8" s="1">
        <v>2016</v>
      </c>
      <c r="D8" s="1">
        <v>2</v>
      </c>
      <c r="E8" s="1">
        <v>2</v>
      </c>
      <c r="F8" s="1">
        <f t="shared" si="0"/>
        <v>2</v>
      </c>
    </row>
    <row r="9" spans="1:6" x14ac:dyDescent="0.2">
      <c r="A9" s="1" t="s">
        <v>8</v>
      </c>
      <c r="B9" s="1" t="s">
        <v>12</v>
      </c>
      <c r="C9" s="1">
        <v>2016</v>
      </c>
      <c r="D9" s="1">
        <v>20126</v>
      </c>
      <c r="E9" s="1">
        <v>20198</v>
      </c>
      <c r="F9" s="1">
        <f t="shared" si="0"/>
        <v>20162</v>
      </c>
    </row>
    <row r="10" spans="1:6" x14ac:dyDescent="0.2">
      <c r="A10" s="1" t="s">
        <v>8</v>
      </c>
      <c r="B10" s="1" t="s">
        <v>13</v>
      </c>
      <c r="C10" s="1">
        <v>2016</v>
      </c>
      <c r="D10" s="1">
        <f>167+16+405</f>
        <v>588</v>
      </c>
      <c r="E10" s="1">
        <f>167+161+405</f>
        <v>733</v>
      </c>
      <c r="F10" s="1">
        <f t="shared" si="0"/>
        <v>660.5</v>
      </c>
    </row>
    <row r="11" spans="1:6" x14ac:dyDescent="0.2">
      <c r="A11" s="1" t="s">
        <v>9</v>
      </c>
      <c r="B11" s="1" t="s">
        <v>13</v>
      </c>
      <c r="C11" s="1">
        <v>2016</v>
      </c>
      <c r="D11" s="1">
        <f>89</f>
        <v>89</v>
      </c>
      <c r="E11" s="1">
        <v>89</v>
      </c>
      <c r="F11" s="1">
        <f t="shared" si="0"/>
        <v>89</v>
      </c>
    </row>
    <row r="12" spans="1:6" x14ac:dyDescent="0.2">
      <c r="A12" s="1" t="s">
        <v>6</v>
      </c>
      <c r="B12" s="1" t="s">
        <v>14</v>
      </c>
      <c r="C12" s="1">
        <v>2016</v>
      </c>
      <c r="D12" s="1">
        <f>19+415+73+990</f>
        <v>1497</v>
      </c>
      <c r="E12" s="1">
        <f>19+415+73+990</f>
        <v>1497</v>
      </c>
      <c r="F12" s="1">
        <f t="shared" si="0"/>
        <v>1497</v>
      </c>
    </row>
    <row r="13" spans="1:6" x14ac:dyDescent="0.2">
      <c r="A13" s="1" t="s">
        <v>8</v>
      </c>
      <c r="B13" s="1" t="s">
        <v>14</v>
      </c>
      <c r="C13" s="1">
        <v>2016</v>
      </c>
      <c r="D13" s="1">
        <f>85+156+114+141+22+166+244+187+31+89+84+759+55+138+314+25+49</f>
        <v>2659</v>
      </c>
      <c r="E13" s="1">
        <f>85+156+114+141+22+166+244+187+31+89+84+759+55+138+314+25+49</f>
        <v>2659</v>
      </c>
      <c r="F13" s="1">
        <f t="shared" si="0"/>
        <v>2659</v>
      </c>
    </row>
    <row r="14" spans="1:6" x14ac:dyDescent="0.2">
      <c r="A14" s="1" t="s">
        <v>9</v>
      </c>
      <c r="B14" s="1" t="s">
        <v>14</v>
      </c>
      <c r="C14" s="1">
        <v>2016</v>
      </c>
      <c r="D14" s="1">
        <f>246+48+110+80+65</f>
        <v>549</v>
      </c>
      <c r="E14" s="1">
        <f>246+48+110+80+65</f>
        <v>549</v>
      </c>
      <c r="F14" s="1">
        <f t="shared" si="0"/>
        <v>549</v>
      </c>
    </row>
    <row r="15" spans="1:6" x14ac:dyDescent="0.2">
      <c r="A15" s="1" t="s">
        <v>8</v>
      </c>
      <c r="B15" s="1" t="s">
        <v>15</v>
      </c>
      <c r="C15" s="1">
        <v>2016</v>
      </c>
      <c r="D15" s="1">
        <v>167</v>
      </c>
      <c r="E15" s="1">
        <v>167</v>
      </c>
      <c r="F15" s="1">
        <f t="shared" si="0"/>
        <v>167</v>
      </c>
    </row>
    <row r="16" spans="1:6" x14ac:dyDescent="0.2">
      <c r="A16" s="1" t="s">
        <v>6</v>
      </c>
      <c r="B16" s="1" t="s">
        <v>16</v>
      </c>
      <c r="C16" s="1">
        <v>2016</v>
      </c>
      <c r="D16" s="1">
        <f>82</f>
        <v>82</v>
      </c>
      <c r="E16" s="1">
        <v>82</v>
      </c>
      <c r="F16" s="1">
        <f t="shared" si="0"/>
        <v>82</v>
      </c>
    </row>
    <row r="17" spans="1:6" x14ac:dyDescent="0.2">
      <c r="A17" s="1" t="s">
        <v>8</v>
      </c>
      <c r="B17" s="1" t="s">
        <v>16</v>
      </c>
      <c r="C17" s="1">
        <v>2016</v>
      </c>
      <c r="D17" s="1">
        <f>5+41</f>
        <v>46</v>
      </c>
      <c r="E17" s="1">
        <f>15+41</f>
        <v>56</v>
      </c>
      <c r="F17" s="1">
        <f t="shared" si="0"/>
        <v>51</v>
      </c>
    </row>
    <row r="18" spans="1:6" x14ac:dyDescent="0.2">
      <c r="A18" s="1" t="s">
        <v>9</v>
      </c>
      <c r="B18" s="1" t="s">
        <v>16</v>
      </c>
      <c r="C18" s="1">
        <v>2016</v>
      </c>
      <c r="D18" s="1">
        <f>222+1825</f>
        <v>2047</v>
      </c>
      <c r="E18" s="1">
        <f>222+1825</f>
        <v>2047</v>
      </c>
      <c r="F18" s="1">
        <f t="shared" si="0"/>
        <v>2047</v>
      </c>
    </row>
    <row r="19" spans="1:6" x14ac:dyDescent="0.2">
      <c r="A19" s="1" t="s">
        <v>6</v>
      </c>
      <c r="B19" s="1" t="s">
        <v>20</v>
      </c>
      <c r="C19" s="1">
        <v>2016</v>
      </c>
      <c r="D19" s="1">
        <f>1031+66</f>
        <v>1097</v>
      </c>
      <c r="E19" s="1">
        <f>1031+71</f>
        <v>1102</v>
      </c>
      <c r="F19" s="1">
        <f t="shared" si="0"/>
        <v>1099.5</v>
      </c>
    </row>
    <row r="20" spans="1:6" x14ac:dyDescent="0.2">
      <c r="A20" s="1" t="s">
        <v>8</v>
      </c>
      <c r="B20" s="1" t="s">
        <v>20</v>
      </c>
      <c r="C20" s="1">
        <v>2016</v>
      </c>
      <c r="D20" s="1">
        <f>6+1+1+5+44+0+1+1+21+1+8+13+4+1+20+12+170+1+138+25</f>
        <v>473</v>
      </c>
      <c r="E20" s="1">
        <f>6+1+1+15+80+2+1+2+23+2+8+13+4+1+20+12+170+1+138+25</f>
        <v>525</v>
      </c>
      <c r="F20" s="1">
        <f t="shared" si="0"/>
        <v>499</v>
      </c>
    </row>
    <row r="21" spans="1:6" x14ac:dyDescent="0.2">
      <c r="A21" s="1" t="s">
        <v>9</v>
      </c>
      <c r="B21" s="1" t="s">
        <v>20</v>
      </c>
      <c r="C21" s="1">
        <v>2016</v>
      </c>
      <c r="D21" s="1">
        <f>1+24+1+224+238+60+113+19+13+3+58+1+172+186+45+19+4+2+63+150+104</f>
        <v>1500</v>
      </c>
      <c r="E21" s="1">
        <f>1+30+2+238+60+120+19+13+4+64+1+185+199+55+19+4+2+63+150+104</f>
        <v>1333</v>
      </c>
      <c r="F21" s="1">
        <f t="shared" si="0"/>
        <v>1416.5</v>
      </c>
    </row>
    <row r="22" spans="1:6" x14ac:dyDescent="0.2">
      <c r="A22" s="1" t="s">
        <v>6</v>
      </c>
      <c r="B22" s="1" t="s">
        <v>21</v>
      </c>
      <c r="C22" s="1">
        <v>2016</v>
      </c>
      <c r="D22" s="1">
        <v>0</v>
      </c>
      <c r="E22" s="1">
        <v>0</v>
      </c>
      <c r="F22" s="1">
        <v>0</v>
      </c>
    </row>
    <row r="23" spans="1:6" x14ac:dyDescent="0.2">
      <c r="A23" s="1" t="s">
        <v>8</v>
      </c>
      <c r="B23" s="1" t="s">
        <v>21</v>
      </c>
      <c r="C23" s="1">
        <v>2016</v>
      </c>
      <c r="D23" s="1">
        <f>3</f>
        <v>3</v>
      </c>
      <c r="E23" s="1">
        <v>5</v>
      </c>
      <c r="F23" s="1">
        <f t="shared" ref="F23:F31" si="1">AVERAGE(D23:E23)</f>
        <v>4</v>
      </c>
    </row>
    <row r="24" spans="1:6" x14ac:dyDescent="0.2">
      <c r="A24" s="1" t="s">
        <v>9</v>
      </c>
      <c r="B24" s="1" t="s">
        <v>21</v>
      </c>
      <c r="C24" s="1">
        <v>2016</v>
      </c>
      <c r="D24" s="1">
        <v>46</v>
      </c>
      <c r="E24" s="1">
        <v>46</v>
      </c>
      <c r="F24" s="1">
        <f t="shared" si="1"/>
        <v>46</v>
      </c>
    </row>
    <row r="25" spans="1:6" x14ac:dyDescent="0.2">
      <c r="A25" s="1" t="s">
        <v>6</v>
      </c>
      <c r="B25" s="1" t="s">
        <v>22</v>
      </c>
      <c r="C25" s="1">
        <v>2016</v>
      </c>
      <c r="D25" s="1">
        <f>2+8+9+55</f>
        <v>74</v>
      </c>
      <c r="E25" s="1">
        <f>2+8+9+61</f>
        <v>80</v>
      </c>
      <c r="F25" s="1">
        <f t="shared" si="1"/>
        <v>77</v>
      </c>
    </row>
    <row r="26" spans="1:6" x14ac:dyDescent="0.2">
      <c r="A26" s="1" t="s">
        <v>8</v>
      </c>
      <c r="B26" s="1" t="s">
        <v>22</v>
      </c>
      <c r="C26" s="1">
        <v>2016</v>
      </c>
      <c r="D26" s="1">
        <f>3+78+19</f>
        <v>100</v>
      </c>
      <c r="E26" s="1">
        <f>4+78+22</f>
        <v>104</v>
      </c>
      <c r="F26" s="1">
        <f t="shared" si="1"/>
        <v>102</v>
      </c>
    </row>
    <row r="27" spans="1:6" x14ac:dyDescent="0.2">
      <c r="A27" s="1" t="s">
        <v>8</v>
      </c>
      <c r="B27" s="1" t="s">
        <v>17</v>
      </c>
      <c r="C27" s="1">
        <v>2016</v>
      </c>
      <c r="D27" s="1">
        <f>4+2+28+291+5</f>
        <v>330</v>
      </c>
      <c r="E27" s="1">
        <f>4+2+49+342+5</f>
        <v>402</v>
      </c>
      <c r="F27" s="1">
        <f t="shared" si="1"/>
        <v>366</v>
      </c>
    </row>
    <row r="28" spans="1:6" x14ac:dyDescent="0.2">
      <c r="A28" s="1" t="s">
        <v>8</v>
      </c>
      <c r="B28" s="1" t="s">
        <v>18</v>
      </c>
      <c r="C28" s="1">
        <v>2016</v>
      </c>
      <c r="D28" s="1">
        <f>38+26+9</f>
        <v>73</v>
      </c>
      <c r="E28" s="1">
        <f>53+29+11</f>
        <v>93</v>
      </c>
      <c r="F28" s="1">
        <f t="shared" si="1"/>
        <v>83</v>
      </c>
    </row>
    <row r="29" spans="1:6" x14ac:dyDescent="0.2">
      <c r="A29" s="1" t="s">
        <v>8</v>
      </c>
      <c r="B29" s="1" t="s">
        <v>19</v>
      </c>
      <c r="C29" s="1">
        <v>2016</v>
      </c>
      <c r="D29" s="1">
        <f>1+119</f>
        <v>120</v>
      </c>
      <c r="E29" s="1">
        <f>2+140</f>
        <v>142</v>
      </c>
      <c r="F29" s="1">
        <f t="shared" si="1"/>
        <v>131</v>
      </c>
    </row>
    <row r="30" spans="1:6" x14ac:dyDescent="0.2">
      <c r="A30" s="1" t="s">
        <v>6</v>
      </c>
      <c r="B30" s="1" t="s">
        <v>15</v>
      </c>
      <c r="C30" s="1">
        <v>2016</v>
      </c>
      <c r="D30" s="1">
        <f>802+0+0+297+959+1905</f>
        <v>3963</v>
      </c>
      <c r="E30" s="1">
        <f>802+0+0+297+959+1905</f>
        <v>3963</v>
      </c>
      <c r="F30" s="1">
        <f t="shared" si="1"/>
        <v>3963</v>
      </c>
    </row>
    <row r="31" spans="1:6" x14ac:dyDescent="0.2">
      <c r="A31" s="1" t="s">
        <v>6</v>
      </c>
      <c r="B31" s="1" t="s">
        <v>13</v>
      </c>
      <c r="C31" s="1">
        <v>2016</v>
      </c>
      <c r="D31" s="1">
        <f>140+5+355+132+36+116+46</f>
        <v>830</v>
      </c>
      <c r="E31" s="1">
        <f>140+5+355+132+36+116+46</f>
        <v>830</v>
      </c>
      <c r="F31" s="1">
        <f t="shared" si="1"/>
        <v>830</v>
      </c>
    </row>
    <row r="32" spans="1:6" x14ac:dyDescent="0.2">
      <c r="A32" s="1" t="s">
        <v>24</v>
      </c>
      <c r="B32" s="1" t="s">
        <v>20</v>
      </c>
      <c r="C32" s="1">
        <v>2016</v>
      </c>
      <c r="D32" s="1">
        <v>178</v>
      </c>
      <c r="E32" s="1">
        <v>178</v>
      </c>
      <c r="F32" s="1">
        <v>178</v>
      </c>
    </row>
    <row r="33" spans="1:6" x14ac:dyDescent="0.2">
      <c r="A33" s="1" t="s">
        <v>30</v>
      </c>
      <c r="B33" s="1" t="s">
        <v>25</v>
      </c>
      <c r="C33" s="1">
        <v>2016</v>
      </c>
      <c r="D33" s="1">
        <v>51</v>
      </c>
      <c r="E33" s="1">
        <v>51</v>
      </c>
      <c r="F33" s="1">
        <v>51</v>
      </c>
    </row>
    <row r="34" spans="1:6" x14ac:dyDescent="0.2">
      <c r="A34" s="1" t="s">
        <v>30</v>
      </c>
      <c r="B34" s="1" t="s">
        <v>26</v>
      </c>
      <c r="C34" s="1">
        <v>2016</v>
      </c>
      <c r="D34" s="1">
        <v>968</v>
      </c>
      <c r="E34" s="1">
        <v>968</v>
      </c>
      <c r="F34" s="1">
        <v>968</v>
      </c>
    </row>
    <row r="35" spans="1:6" x14ac:dyDescent="0.2">
      <c r="A35" s="1" t="s">
        <v>30</v>
      </c>
      <c r="B35" s="1" t="s">
        <v>27</v>
      </c>
      <c r="C35" s="1">
        <v>2016</v>
      </c>
      <c r="D35" s="1">
        <v>3350</v>
      </c>
      <c r="E35" s="1">
        <v>3350</v>
      </c>
      <c r="F35" s="1">
        <v>3350</v>
      </c>
    </row>
    <row r="36" spans="1:6" x14ac:dyDescent="0.2">
      <c r="A36" s="1" t="s">
        <v>30</v>
      </c>
      <c r="B36" s="1" t="s">
        <v>28</v>
      </c>
      <c r="C36" s="1">
        <v>2016</v>
      </c>
      <c r="D36" s="1">
        <v>3502</v>
      </c>
      <c r="E36" s="1">
        <v>3502</v>
      </c>
      <c r="F36" s="1">
        <v>3502</v>
      </c>
    </row>
    <row r="37" spans="1:6" x14ac:dyDescent="0.2">
      <c r="A37" s="1" t="s">
        <v>30</v>
      </c>
      <c r="B37" s="1" t="s">
        <v>22</v>
      </c>
      <c r="C37" s="1">
        <v>2016</v>
      </c>
      <c r="D37" s="1">
        <v>1109</v>
      </c>
      <c r="E37" s="1">
        <v>1109</v>
      </c>
      <c r="F37" s="1">
        <v>1109</v>
      </c>
    </row>
    <row r="38" spans="1:6" x14ac:dyDescent="0.2">
      <c r="A38" s="1" t="s">
        <v>30</v>
      </c>
      <c r="B38" s="1" t="s">
        <v>20</v>
      </c>
      <c r="C38" s="1">
        <v>2016</v>
      </c>
      <c r="D38" s="1">
        <v>2344</v>
      </c>
      <c r="E38" s="1">
        <v>2344</v>
      </c>
      <c r="F38" s="1">
        <v>2344</v>
      </c>
    </row>
    <row r="39" spans="1:6" x14ac:dyDescent="0.2">
      <c r="A39" s="1" t="s">
        <v>30</v>
      </c>
      <c r="B39" s="1" t="s">
        <v>29</v>
      </c>
      <c r="C39" s="1">
        <v>2016</v>
      </c>
      <c r="D39" s="1">
        <v>1002</v>
      </c>
      <c r="E39" s="1">
        <v>1002</v>
      </c>
      <c r="F39" s="1">
        <v>1002</v>
      </c>
    </row>
    <row r="40" spans="1:6" x14ac:dyDescent="0.2">
      <c r="A40" s="1" t="s">
        <v>30</v>
      </c>
      <c r="B40" s="1" t="s">
        <v>16</v>
      </c>
      <c r="C40" s="1">
        <v>2016</v>
      </c>
      <c r="D40" s="1">
        <v>2471</v>
      </c>
      <c r="E40" s="1">
        <v>2471</v>
      </c>
      <c r="F40" s="1">
        <v>2471</v>
      </c>
    </row>
    <row r="41" spans="1:6" x14ac:dyDescent="0.2">
      <c r="A41" s="1" t="s">
        <v>6</v>
      </c>
      <c r="B41" s="1" t="s">
        <v>7</v>
      </c>
      <c r="C41" s="1">
        <v>2017</v>
      </c>
      <c r="D41" s="1">
        <f>105+26+15+21+33</f>
        <v>200</v>
      </c>
      <c r="E41" s="1">
        <f>105+26+15+21+33</f>
        <v>200</v>
      </c>
      <c r="F41" s="1">
        <f t="shared" ref="F41:F72" si="2">AVERAGE(D41:E41)</f>
        <v>200</v>
      </c>
    </row>
    <row r="42" spans="1:6" x14ac:dyDescent="0.2">
      <c r="A42" s="1" t="s">
        <v>8</v>
      </c>
      <c r="B42" s="1" t="s">
        <v>7</v>
      </c>
      <c r="C42" s="1">
        <v>2017</v>
      </c>
      <c r="D42" s="1">
        <f>9+6+7+81+124+30+25+7</f>
        <v>289</v>
      </c>
      <c r="E42" s="1">
        <f>10+8+9+86+124+31+25+7</f>
        <v>300</v>
      </c>
      <c r="F42" s="1">
        <f t="shared" si="2"/>
        <v>294.5</v>
      </c>
    </row>
    <row r="43" spans="1:6" x14ac:dyDescent="0.2">
      <c r="A43" s="1" t="s">
        <v>9</v>
      </c>
      <c r="B43" s="1" t="s">
        <v>7</v>
      </c>
      <c r="C43" s="1">
        <v>2017</v>
      </c>
      <c r="D43" s="1">
        <f>8</f>
        <v>8</v>
      </c>
      <c r="E43" s="1">
        <f>8</f>
        <v>8</v>
      </c>
      <c r="F43" s="1">
        <f t="shared" si="2"/>
        <v>8</v>
      </c>
    </row>
    <row r="44" spans="1:6" x14ac:dyDescent="0.2">
      <c r="A44" s="1" t="s">
        <v>8</v>
      </c>
      <c r="B44" s="1" t="s">
        <v>10</v>
      </c>
      <c r="C44" s="1">
        <v>2017</v>
      </c>
      <c r="D44" s="1">
        <f>262+1+53</f>
        <v>316</v>
      </c>
      <c r="E44" s="1">
        <f>406+1+54</f>
        <v>461</v>
      </c>
      <c r="F44" s="1">
        <f t="shared" si="2"/>
        <v>388.5</v>
      </c>
    </row>
    <row r="45" spans="1:6" x14ac:dyDescent="0.2">
      <c r="A45" s="1" t="s">
        <v>9</v>
      </c>
      <c r="B45" s="1" t="s">
        <v>10</v>
      </c>
      <c r="C45" s="1">
        <v>2017</v>
      </c>
      <c r="D45" s="1">
        <v>3</v>
      </c>
      <c r="E45" s="1">
        <v>3</v>
      </c>
      <c r="F45" s="1">
        <f t="shared" si="2"/>
        <v>3</v>
      </c>
    </row>
    <row r="46" spans="1:6" x14ac:dyDescent="0.2">
      <c r="A46" s="1" t="s">
        <v>8</v>
      </c>
      <c r="B46" s="1" t="s">
        <v>11</v>
      </c>
      <c r="C46" s="1">
        <v>2017</v>
      </c>
      <c r="D46" s="1">
        <f>142+825+85</f>
        <v>1052</v>
      </c>
      <c r="E46" s="1">
        <f>150+885+85</f>
        <v>1120</v>
      </c>
      <c r="F46" s="1">
        <f t="shared" si="2"/>
        <v>1086</v>
      </c>
    </row>
    <row r="47" spans="1:6" x14ac:dyDescent="0.2">
      <c r="A47" s="1" t="s">
        <v>9</v>
      </c>
      <c r="B47" s="1" t="s">
        <v>11</v>
      </c>
      <c r="C47" s="1">
        <v>2017</v>
      </c>
      <c r="D47" s="1">
        <f>11</f>
        <v>11</v>
      </c>
      <c r="E47" s="1">
        <v>13</v>
      </c>
      <c r="F47" s="1">
        <f t="shared" si="2"/>
        <v>12</v>
      </c>
    </row>
    <row r="48" spans="1:6" x14ac:dyDescent="0.2">
      <c r="A48" s="1" t="s">
        <v>8</v>
      </c>
      <c r="B48" s="1" t="s">
        <v>12</v>
      </c>
      <c r="C48" s="1">
        <v>2017</v>
      </c>
      <c r="D48" s="1">
        <v>18919</v>
      </c>
      <c r="E48" s="1">
        <v>18919</v>
      </c>
      <c r="F48" s="1">
        <f t="shared" si="2"/>
        <v>18919</v>
      </c>
    </row>
    <row r="49" spans="1:6" x14ac:dyDescent="0.2">
      <c r="A49" s="1" t="s">
        <v>8</v>
      </c>
      <c r="B49" s="1" t="s">
        <v>13</v>
      </c>
      <c r="C49" s="1">
        <v>2017</v>
      </c>
      <c r="D49" s="1">
        <f>181+174+410</f>
        <v>765</v>
      </c>
      <c r="E49" s="1">
        <v>765</v>
      </c>
      <c r="F49" s="1">
        <f t="shared" si="2"/>
        <v>765</v>
      </c>
    </row>
    <row r="50" spans="1:6" x14ac:dyDescent="0.2">
      <c r="A50" s="1" t="s">
        <v>9</v>
      </c>
      <c r="B50" s="1" t="s">
        <v>13</v>
      </c>
      <c r="C50" s="1">
        <v>2017</v>
      </c>
      <c r="D50" s="1">
        <v>72</v>
      </c>
      <c r="E50" s="1">
        <v>72</v>
      </c>
      <c r="F50" s="1">
        <f t="shared" si="2"/>
        <v>72</v>
      </c>
    </row>
    <row r="51" spans="1:6" x14ac:dyDescent="0.2">
      <c r="A51" s="1" t="s">
        <v>6</v>
      </c>
      <c r="B51" s="1" t="s">
        <v>14</v>
      </c>
      <c r="C51" s="1">
        <v>2017</v>
      </c>
      <c r="D51" s="1">
        <f>19+340+55+932</f>
        <v>1346</v>
      </c>
      <c r="E51" s="1">
        <f>19+340+55+932</f>
        <v>1346</v>
      </c>
      <c r="F51" s="1">
        <f t="shared" si="2"/>
        <v>1346</v>
      </c>
    </row>
    <row r="52" spans="1:6" x14ac:dyDescent="0.2">
      <c r="A52" s="1" t="s">
        <v>8</v>
      </c>
      <c r="B52" s="1" t="s">
        <v>14</v>
      </c>
      <c r="C52" s="1">
        <v>2017</v>
      </c>
      <c r="D52" s="1">
        <f>150+112+129+120+24+207+264+201+110+32+101+93+751+57+106+31+47</f>
        <v>2535</v>
      </c>
      <c r="E52" s="1">
        <f>150+112+129+120+24+207+264+201+110+32+101+93+751+57+106+31+47</f>
        <v>2535</v>
      </c>
      <c r="F52" s="1">
        <f t="shared" si="2"/>
        <v>2535</v>
      </c>
    </row>
    <row r="53" spans="1:6" x14ac:dyDescent="0.2">
      <c r="A53" s="1" t="s">
        <v>9</v>
      </c>
      <c r="B53" s="1" t="s">
        <v>14</v>
      </c>
      <c r="C53" s="1">
        <v>2017</v>
      </c>
      <c r="D53" s="1">
        <f>295+45+151+112+88</f>
        <v>691</v>
      </c>
      <c r="E53" s="1">
        <f>295+45+151+112+88</f>
        <v>691</v>
      </c>
      <c r="F53" s="1">
        <f t="shared" si="2"/>
        <v>691</v>
      </c>
    </row>
    <row r="54" spans="1:6" x14ac:dyDescent="0.2">
      <c r="A54" s="1" t="s">
        <v>8</v>
      </c>
      <c r="B54" s="1" t="s">
        <v>15</v>
      </c>
      <c r="C54" s="1">
        <v>2017</v>
      </c>
      <c r="D54" s="1">
        <v>189</v>
      </c>
      <c r="E54" s="1">
        <v>189</v>
      </c>
      <c r="F54" s="1">
        <f t="shared" si="2"/>
        <v>189</v>
      </c>
    </row>
    <row r="55" spans="1:6" x14ac:dyDescent="0.2">
      <c r="A55" s="1" t="s">
        <v>6</v>
      </c>
      <c r="B55" s="1" t="s">
        <v>16</v>
      </c>
      <c r="C55" s="1">
        <v>2017</v>
      </c>
      <c r="D55" s="1">
        <f>202+430+13</f>
        <v>645</v>
      </c>
      <c r="E55" s="1">
        <f>202+430+13</f>
        <v>645</v>
      </c>
      <c r="F55" s="1">
        <f t="shared" si="2"/>
        <v>645</v>
      </c>
    </row>
    <row r="56" spans="1:6" x14ac:dyDescent="0.2">
      <c r="A56" s="1" t="s">
        <v>8</v>
      </c>
      <c r="B56" s="1" t="s">
        <v>16</v>
      </c>
      <c r="C56" s="1">
        <v>2017</v>
      </c>
      <c r="D56" s="1">
        <f>27+11</f>
        <v>38</v>
      </c>
      <c r="E56" s="1">
        <f>27+11</f>
        <v>38</v>
      </c>
      <c r="F56" s="1">
        <f t="shared" si="2"/>
        <v>38</v>
      </c>
    </row>
    <row r="57" spans="1:6" x14ac:dyDescent="0.2">
      <c r="A57" s="1" t="s">
        <v>9</v>
      </c>
      <c r="B57" s="1" t="s">
        <v>16</v>
      </c>
      <c r="C57" s="1">
        <v>2017</v>
      </c>
      <c r="D57" s="1">
        <f>2552+1527</f>
        <v>4079</v>
      </c>
      <c r="E57" s="1">
        <f>2552+1527</f>
        <v>4079</v>
      </c>
      <c r="F57" s="1">
        <f t="shared" si="2"/>
        <v>4079</v>
      </c>
    </row>
    <row r="58" spans="1:6" x14ac:dyDescent="0.2">
      <c r="A58" s="1" t="s">
        <v>24</v>
      </c>
      <c r="B58" s="1" t="s">
        <v>16</v>
      </c>
      <c r="C58" s="1">
        <v>2017</v>
      </c>
      <c r="D58" s="1">
        <v>2901</v>
      </c>
      <c r="E58" s="1">
        <v>3201</v>
      </c>
      <c r="F58" s="1">
        <f t="shared" si="2"/>
        <v>3051</v>
      </c>
    </row>
    <row r="59" spans="1:6" x14ac:dyDescent="0.2">
      <c r="A59" s="1" t="s">
        <v>6</v>
      </c>
      <c r="B59" s="1" t="s">
        <v>20</v>
      </c>
      <c r="C59" s="1">
        <v>2017</v>
      </c>
      <c r="D59" s="1">
        <f>399+500+95</f>
        <v>994</v>
      </c>
      <c r="E59" s="1">
        <f>399+500+95</f>
        <v>994</v>
      </c>
      <c r="F59" s="1">
        <f t="shared" si="2"/>
        <v>994</v>
      </c>
    </row>
    <row r="60" spans="1:6" x14ac:dyDescent="0.2">
      <c r="A60" s="1" t="s">
        <v>8</v>
      </c>
      <c r="B60" s="1" t="s">
        <v>20</v>
      </c>
      <c r="C60" s="1">
        <v>2017</v>
      </c>
      <c r="D60" s="1">
        <f>15+74+34+1+16+5+21+12+251+178</f>
        <v>607</v>
      </c>
      <c r="E60" s="1">
        <f>15+74+114+2+16+8+21+12+251+192</f>
        <v>705</v>
      </c>
      <c r="F60" s="1">
        <f t="shared" si="2"/>
        <v>656</v>
      </c>
    </row>
    <row r="61" spans="1:6" x14ac:dyDescent="0.2">
      <c r="A61" s="1" t="s">
        <v>9</v>
      </c>
      <c r="B61" s="1" t="s">
        <v>20</v>
      </c>
      <c r="C61" s="1">
        <v>2017</v>
      </c>
      <c r="D61" s="1">
        <f>1+9+12+271+23+243+62+387+65+37+30+385</f>
        <v>1525</v>
      </c>
      <c r="E61" s="1">
        <f>2+12+271+35+246+64+402+70+37+30+385</f>
        <v>1554</v>
      </c>
      <c r="F61" s="1">
        <f t="shared" si="2"/>
        <v>1539.5</v>
      </c>
    </row>
    <row r="62" spans="1:6" x14ac:dyDescent="0.2">
      <c r="A62" s="1" t="s">
        <v>24</v>
      </c>
      <c r="B62" s="1" t="s">
        <v>20</v>
      </c>
      <c r="C62" s="1">
        <v>2017</v>
      </c>
      <c r="D62" s="1">
        <v>410</v>
      </c>
      <c r="E62" s="1">
        <v>435</v>
      </c>
      <c r="F62" s="1">
        <f t="shared" si="2"/>
        <v>422.5</v>
      </c>
    </row>
    <row r="63" spans="1:6" x14ac:dyDescent="0.2">
      <c r="A63" s="1" t="s">
        <v>6</v>
      </c>
      <c r="B63" s="1" t="s">
        <v>21</v>
      </c>
      <c r="C63" s="1">
        <v>2017</v>
      </c>
      <c r="D63" s="1">
        <v>1</v>
      </c>
      <c r="E63" s="1">
        <v>1</v>
      </c>
      <c r="F63" s="1">
        <f t="shared" si="2"/>
        <v>1</v>
      </c>
    </row>
    <row r="64" spans="1:6" x14ac:dyDescent="0.2">
      <c r="A64" s="1" t="s">
        <v>8</v>
      </c>
      <c r="B64" s="1" t="s">
        <v>21</v>
      </c>
      <c r="C64" s="1">
        <v>2017</v>
      </c>
      <c r="D64" s="1">
        <f>6</f>
        <v>6</v>
      </c>
      <c r="E64" s="1">
        <v>6</v>
      </c>
      <c r="F64" s="1">
        <f t="shared" si="2"/>
        <v>6</v>
      </c>
    </row>
    <row r="65" spans="1:6" x14ac:dyDescent="0.2">
      <c r="A65" s="1" t="s">
        <v>9</v>
      </c>
      <c r="B65" s="1" t="s">
        <v>21</v>
      </c>
      <c r="C65" s="1">
        <v>2017</v>
      </c>
      <c r="D65" s="1">
        <v>46</v>
      </c>
      <c r="E65" s="1">
        <v>46</v>
      </c>
      <c r="F65" s="1">
        <f t="shared" si="2"/>
        <v>46</v>
      </c>
    </row>
    <row r="66" spans="1:6" x14ac:dyDescent="0.2">
      <c r="A66" s="1" t="s">
        <v>6</v>
      </c>
      <c r="B66" s="1" t="s">
        <v>22</v>
      </c>
      <c r="C66" s="1">
        <v>2017</v>
      </c>
      <c r="D66" s="1">
        <f>15+108+35</f>
        <v>158</v>
      </c>
      <c r="E66" s="1">
        <v>163</v>
      </c>
      <c r="F66" s="1">
        <f t="shared" si="2"/>
        <v>160.5</v>
      </c>
    </row>
    <row r="67" spans="1:6" x14ac:dyDescent="0.2">
      <c r="A67" s="1" t="s">
        <v>8</v>
      </c>
      <c r="B67" s="1" t="s">
        <v>22</v>
      </c>
      <c r="C67" s="1">
        <v>2017</v>
      </c>
      <c r="D67" s="1">
        <v>93</v>
      </c>
      <c r="E67" s="1">
        <v>93</v>
      </c>
      <c r="F67" s="1">
        <f t="shared" si="2"/>
        <v>93</v>
      </c>
    </row>
    <row r="68" spans="1:6" x14ac:dyDescent="0.2">
      <c r="A68" s="1" t="s">
        <v>8</v>
      </c>
      <c r="B68" s="1" t="s">
        <v>17</v>
      </c>
      <c r="C68" s="1">
        <v>2017</v>
      </c>
      <c r="D68" s="1">
        <f>0+2+24+218</f>
        <v>244</v>
      </c>
      <c r="E68" s="1">
        <f>0+2+38+267</f>
        <v>307</v>
      </c>
      <c r="F68" s="1">
        <f t="shared" si="2"/>
        <v>275.5</v>
      </c>
    </row>
    <row r="69" spans="1:6" x14ac:dyDescent="0.2">
      <c r="A69" s="1" t="s">
        <v>8</v>
      </c>
      <c r="B69" s="1" t="s">
        <v>18</v>
      </c>
      <c r="C69" s="1">
        <v>2017</v>
      </c>
      <c r="D69" s="1">
        <f>45+27</f>
        <v>72</v>
      </c>
      <c r="E69" s="1">
        <f>53+32</f>
        <v>85</v>
      </c>
      <c r="F69" s="1">
        <f t="shared" si="2"/>
        <v>78.5</v>
      </c>
    </row>
    <row r="70" spans="1:6" x14ac:dyDescent="0.2">
      <c r="A70" s="1" t="s">
        <v>8</v>
      </c>
      <c r="B70" s="1" t="s">
        <v>19</v>
      </c>
      <c r="C70" s="1">
        <v>2017</v>
      </c>
      <c r="D70" s="1">
        <f>1+170</f>
        <v>171</v>
      </c>
      <c r="E70" s="1">
        <f>2+200</f>
        <v>202</v>
      </c>
      <c r="F70" s="1">
        <f t="shared" si="2"/>
        <v>186.5</v>
      </c>
    </row>
    <row r="71" spans="1:6" x14ac:dyDescent="0.2">
      <c r="A71" s="1" t="s">
        <v>6</v>
      </c>
      <c r="B71" s="1" t="s">
        <v>15</v>
      </c>
      <c r="C71" s="1">
        <v>2017</v>
      </c>
      <c r="D71" s="1">
        <f>867+311+1290+2158</f>
        <v>4626</v>
      </c>
      <c r="E71" s="1">
        <f>867+311+1290+2158</f>
        <v>4626</v>
      </c>
      <c r="F71" s="1">
        <f t="shared" si="2"/>
        <v>4626</v>
      </c>
    </row>
    <row r="72" spans="1:6" x14ac:dyDescent="0.2">
      <c r="A72" s="1" t="s">
        <v>6</v>
      </c>
      <c r="B72" s="1" t="s">
        <v>13</v>
      </c>
      <c r="C72" s="1">
        <v>2017</v>
      </c>
      <c r="D72" s="1">
        <f>161+1+354+50+85+52</f>
        <v>703</v>
      </c>
      <c r="E72" s="1">
        <f>161+1+354+50+85+52</f>
        <v>703</v>
      </c>
      <c r="F72" s="1">
        <f t="shared" si="2"/>
        <v>703</v>
      </c>
    </row>
    <row r="73" spans="1:6" x14ac:dyDescent="0.2">
      <c r="A73" s="1" t="s">
        <v>30</v>
      </c>
      <c r="B73" s="1" t="s">
        <v>25</v>
      </c>
      <c r="C73" s="1">
        <v>2017</v>
      </c>
      <c r="D73" s="1">
        <v>70</v>
      </c>
      <c r="E73" s="1">
        <v>70</v>
      </c>
      <c r="F73" s="1">
        <v>70</v>
      </c>
    </row>
    <row r="74" spans="1:6" x14ac:dyDescent="0.2">
      <c r="A74" s="1" t="s">
        <v>30</v>
      </c>
      <c r="B74" s="1" t="s">
        <v>26</v>
      </c>
      <c r="C74" s="1">
        <v>2017</v>
      </c>
      <c r="D74" s="1">
        <v>1429</v>
      </c>
      <c r="E74" s="1">
        <v>1429</v>
      </c>
      <c r="F74" s="1">
        <v>1429</v>
      </c>
    </row>
    <row r="75" spans="1:6" x14ac:dyDescent="0.2">
      <c r="A75" s="1" t="s">
        <v>30</v>
      </c>
      <c r="B75" s="1" t="s">
        <v>27</v>
      </c>
      <c r="C75" s="1">
        <v>2017</v>
      </c>
      <c r="D75" s="1">
        <v>4292</v>
      </c>
      <c r="E75" s="1">
        <v>4292</v>
      </c>
      <c r="F75" s="1">
        <v>4292</v>
      </c>
    </row>
    <row r="76" spans="1:6" x14ac:dyDescent="0.2">
      <c r="A76" s="1" t="s">
        <v>30</v>
      </c>
      <c r="B76" s="1" t="s">
        <v>28</v>
      </c>
      <c r="C76" s="1">
        <v>2017</v>
      </c>
      <c r="D76" s="1">
        <v>3833</v>
      </c>
      <c r="E76" s="1">
        <v>3833</v>
      </c>
      <c r="F76" s="1">
        <v>3833</v>
      </c>
    </row>
    <row r="77" spans="1:6" x14ac:dyDescent="0.2">
      <c r="A77" s="1" t="s">
        <v>30</v>
      </c>
      <c r="B77" s="1" t="s">
        <v>22</v>
      </c>
      <c r="C77" s="1">
        <v>2017</v>
      </c>
      <c r="D77" s="1">
        <v>1244</v>
      </c>
      <c r="E77" s="1">
        <v>1244</v>
      </c>
      <c r="F77" s="1">
        <v>1244</v>
      </c>
    </row>
    <row r="78" spans="1:6" x14ac:dyDescent="0.2">
      <c r="A78" s="1" t="s">
        <v>30</v>
      </c>
      <c r="B78" s="1" t="s">
        <v>20</v>
      </c>
      <c r="C78" s="1">
        <v>2017</v>
      </c>
      <c r="D78" s="1">
        <v>2431</v>
      </c>
      <c r="E78" s="1">
        <v>2431</v>
      </c>
      <c r="F78" s="1">
        <v>2431</v>
      </c>
    </row>
    <row r="79" spans="1:6" x14ac:dyDescent="0.2">
      <c r="A79" s="1" t="s">
        <v>30</v>
      </c>
      <c r="B79" s="1" t="s">
        <v>29</v>
      </c>
      <c r="C79" s="1">
        <v>2017</v>
      </c>
      <c r="D79" s="1">
        <v>1019</v>
      </c>
      <c r="E79" s="1">
        <v>1019</v>
      </c>
      <c r="F79" s="1">
        <v>1019</v>
      </c>
    </row>
    <row r="80" spans="1:6" x14ac:dyDescent="0.2">
      <c r="A80" s="1" t="s">
        <v>30</v>
      </c>
      <c r="B80" s="1" t="s">
        <v>16</v>
      </c>
      <c r="C80" s="1">
        <v>2017</v>
      </c>
      <c r="D80" s="1">
        <v>3279</v>
      </c>
      <c r="E80" s="1">
        <v>3279</v>
      </c>
      <c r="F80" s="1">
        <v>3279</v>
      </c>
    </row>
    <row r="81" spans="1:6" x14ac:dyDescent="0.2">
      <c r="A81" s="1" t="s">
        <v>6</v>
      </c>
      <c r="B81" s="1" t="s">
        <v>7</v>
      </c>
      <c r="C81" s="1">
        <v>2018</v>
      </c>
      <c r="D81" s="1">
        <f>22+11+59+21+61</f>
        <v>174</v>
      </c>
      <c r="E81" s="1">
        <f>22+11+59+21+61</f>
        <v>174</v>
      </c>
      <c r="F81" s="1">
        <f t="shared" ref="F81:F87" si="3">AVERAGE(D81:E81)</f>
        <v>174</v>
      </c>
    </row>
    <row r="82" spans="1:6" x14ac:dyDescent="0.2">
      <c r="A82" s="1" t="s">
        <v>8</v>
      </c>
      <c r="B82" s="1" t="s">
        <v>7</v>
      </c>
      <c r="C82" s="1">
        <v>2018</v>
      </c>
      <c r="D82" s="1">
        <f>10+4+0+77+126+21+27+2</f>
        <v>267</v>
      </c>
      <c r="E82" s="1">
        <f>14+7+3+79+131+21+31+4</f>
        <v>290</v>
      </c>
      <c r="F82" s="1">
        <f t="shared" si="3"/>
        <v>278.5</v>
      </c>
    </row>
    <row r="83" spans="1:6" x14ac:dyDescent="0.2">
      <c r="A83" s="1" t="s">
        <v>9</v>
      </c>
      <c r="B83" s="1" t="s">
        <v>7</v>
      </c>
      <c r="C83" s="1">
        <v>2018</v>
      </c>
      <c r="D83" s="1">
        <f>6</f>
        <v>6</v>
      </c>
      <c r="E83" s="1">
        <v>6</v>
      </c>
      <c r="F83" s="1">
        <f t="shared" si="3"/>
        <v>6</v>
      </c>
    </row>
    <row r="84" spans="1:6" x14ac:dyDescent="0.2">
      <c r="A84" s="1" t="s">
        <v>8</v>
      </c>
      <c r="B84" s="1" t="s">
        <v>10</v>
      </c>
      <c r="C84" s="1">
        <v>2018</v>
      </c>
      <c r="D84" s="1">
        <f>72+60+3+47</f>
        <v>182</v>
      </c>
      <c r="E84" s="1">
        <f>159+60+3+48</f>
        <v>270</v>
      </c>
      <c r="F84" s="1">
        <f t="shared" si="3"/>
        <v>226</v>
      </c>
    </row>
    <row r="85" spans="1:6" x14ac:dyDescent="0.2">
      <c r="A85" s="1" t="s">
        <v>9</v>
      </c>
      <c r="B85" s="1" t="s">
        <v>10</v>
      </c>
      <c r="C85" s="1">
        <v>2018</v>
      </c>
      <c r="D85" s="1">
        <v>1</v>
      </c>
      <c r="E85" s="1">
        <v>2</v>
      </c>
      <c r="F85" s="1">
        <f t="shared" si="3"/>
        <v>1.5</v>
      </c>
    </row>
    <row r="86" spans="1:6" x14ac:dyDescent="0.2">
      <c r="A86" s="1" t="s">
        <v>8</v>
      </c>
      <c r="B86" s="1" t="s">
        <v>11</v>
      </c>
      <c r="C86" s="1">
        <v>2018</v>
      </c>
      <c r="D86" s="1">
        <f>129+770+88</f>
        <v>987</v>
      </c>
      <c r="E86" s="1">
        <f>135+835+90</f>
        <v>1060</v>
      </c>
      <c r="F86" s="1">
        <f t="shared" si="3"/>
        <v>1023.5</v>
      </c>
    </row>
    <row r="87" spans="1:6" x14ac:dyDescent="0.2">
      <c r="A87" s="1" t="s">
        <v>9</v>
      </c>
      <c r="B87" s="1" t="s">
        <v>11</v>
      </c>
      <c r="C87" s="1">
        <v>2018</v>
      </c>
      <c r="D87" s="1">
        <v>8</v>
      </c>
      <c r="E87" s="1">
        <v>8</v>
      </c>
      <c r="F87" s="1">
        <f t="shared" si="3"/>
        <v>8</v>
      </c>
    </row>
    <row r="88" spans="1:6" x14ac:dyDescent="0.2">
      <c r="A88" s="1" t="s">
        <v>8</v>
      </c>
      <c r="B88" s="1" t="s">
        <v>12</v>
      </c>
      <c r="C88" s="1">
        <v>2018</v>
      </c>
      <c r="D88" s="1" t="s">
        <v>23</v>
      </c>
      <c r="E88" s="1" t="s">
        <v>23</v>
      </c>
      <c r="F88" s="1" t="s">
        <v>23</v>
      </c>
    </row>
    <row r="89" spans="1:6" x14ac:dyDescent="0.2">
      <c r="A89" s="1" t="s">
        <v>8</v>
      </c>
      <c r="B89" s="1" t="s">
        <v>13</v>
      </c>
      <c r="C89" s="1">
        <v>2018</v>
      </c>
      <c r="D89" s="1">
        <f>174+179+369</f>
        <v>722</v>
      </c>
      <c r="E89" s="1">
        <v>722</v>
      </c>
      <c r="F89" s="1">
        <f t="shared" ref="F89:F110" si="4">AVERAGE(D89:E89)</f>
        <v>722</v>
      </c>
    </row>
    <row r="90" spans="1:6" x14ac:dyDescent="0.2">
      <c r="A90" s="1" t="s">
        <v>9</v>
      </c>
      <c r="B90" s="1" t="s">
        <v>13</v>
      </c>
      <c r="C90" s="1">
        <v>2018</v>
      </c>
      <c r="D90" s="1">
        <v>399</v>
      </c>
      <c r="E90" s="1">
        <v>399</v>
      </c>
      <c r="F90" s="1">
        <f t="shared" si="4"/>
        <v>399</v>
      </c>
    </row>
    <row r="91" spans="1:6" x14ac:dyDescent="0.2">
      <c r="A91" s="1" t="s">
        <v>6</v>
      </c>
      <c r="B91" s="1" t="s">
        <v>14</v>
      </c>
      <c r="C91" s="1">
        <v>2018</v>
      </c>
      <c r="D91" s="1">
        <f>26+320+60+1032</f>
        <v>1438</v>
      </c>
      <c r="E91" s="1">
        <f>26+320+60+1032</f>
        <v>1438</v>
      </c>
      <c r="F91" s="1">
        <f t="shared" si="4"/>
        <v>1438</v>
      </c>
    </row>
    <row r="92" spans="1:6" x14ac:dyDescent="0.2">
      <c r="A92" s="1" t="s">
        <v>8</v>
      </c>
      <c r="B92" s="1" t="s">
        <v>14</v>
      </c>
      <c r="C92" s="1">
        <v>2018</v>
      </c>
      <c r="D92" s="1">
        <f>126+142+107+193+111+27+209+232+197+104+24+96+75+778+69+152+321+26+45</f>
        <v>3034</v>
      </c>
      <c r="E92" s="1">
        <f>126+142+107+193+111+27+209+232+197+104+24+96+75+778+69+152+321+26+45</f>
        <v>3034</v>
      </c>
      <c r="F92" s="1">
        <f t="shared" si="4"/>
        <v>3034</v>
      </c>
    </row>
    <row r="93" spans="1:6" x14ac:dyDescent="0.2">
      <c r="A93" s="1" t="s">
        <v>9</v>
      </c>
      <c r="B93" s="1" t="s">
        <v>14</v>
      </c>
      <c r="C93" s="1">
        <v>2018</v>
      </c>
      <c r="D93" s="1">
        <f>292+40+122+65+71</f>
        <v>590</v>
      </c>
      <c r="E93" s="1">
        <f>292+40+122+65+71</f>
        <v>590</v>
      </c>
      <c r="F93" s="1">
        <f t="shared" si="4"/>
        <v>590</v>
      </c>
    </row>
    <row r="94" spans="1:6" x14ac:dyDescent="0.2">
      <c r="A94" s="1" t="s">
        <v>8</v>
      </c>
      <c r="B94" s="1" t="s">
        <v>15</v>
      </c>
      <c r="C94" s="1">
        <v>2018</v>
      </c>
      <c r="D94" s="1">
        <v>218</v>
      </c>
      <c r="E94" s="1">
        <v>218</v>
      </c>
      <c r="F94" s="1">
        <f t="shared" si="4"/>
        <v>218</v>
      </c>
    </row>
    <row r="95" spans="1:6" x14ac:dyDescent="0.2">
      <c r="A95" s="1" t="s">
        <v>6</v>
      </c>
      <c r="B95" s="1" t="s">
        <v>16</v>
      </c>
      <c r="C95" s="1">
        <v>2018</v>
      </c>
      <c r="D95" s="1">
        <f>173+50+4</f>
        <v>227</v>
      </c>
      <c r="E95" s="1">
        <f>173+150+4</f>
        <v>327</v>
      </c>
      <c r="F95" s="1">
        <f t="shared" si="4"/>
        <v>277</v>
      </c>
    </row>
    <row r="96" spans="1:6" x14ac:dyDescent="0.2">
      <c r="A96" s="1" t="s">
        <v>8</v>
      </c>
      <c r="B96" s="1" t="s">
        <v>16</v>
      </c>
      <c r="C96" s="1">
        <v>2018</v>
      </c>
      <c r="D96" s="1">
        <f>10</f>
        <v>10</v>
      </c>
      <c r="E96" s="1">
        <v>20</v>
      </c>
      <c r="F96" s="1">
        <f t="shared" si="4"/>
        <v>15</v>
      </c>
    </row>
    <row r="97" spans="1:6" x14ac:dyDescent="0.2">
      <c r="A97" s="1" t="s">
        <v>9</v>
      </c>
      <c r="B97" s="1" t="s">
        <v>16</v>
      </c>
      <c r="C97" s="1">
        <v>2018</v>
      </c>
      <c r="D97" s="1">
        <f>2356+1695</f>
        <v>4051</v>
      </c>
      <c r="E97" s="1">
        <f>2356+1695</f>
        <v>4051</v>
      </c>
      <c r="F97" s="1">
        <f t="shared" si="4"/>
        <v>4051</v>
      </c>
    </row>
    <row r="98" spans="1:6" x14ac:dyDescent="0.2">
      <c r="A98" s="1" t="s">
        <v>24</v>
      </c>
      <c r="B98" s="1" t="s">
        <v>16</v>
      </c>
      <c r="C98" s="1">
        <v>2018</v>
      </c>
      <c r="D98" s="1">
        <v>2571</v>
      </c>
      <c r="E98" s="1">
        <v>2771</v>
      </c>
      <c r="F98" s="1">
        <f t="shared" si="4"/>
        <v>2671</v>
      </c>
    </row>
    <row r="99" spans="1:6" x14ac:dyDescent="0.2">
      <c r="A99" s="1" t="s">
        <v>6</v>
      </c>
      <c r="B99" s="1" t="s">
        <v>20</v>
      </c>
      <c r="C99" s="1">
        <v>2018</v>
      </c>
      <c r="D99" s="1">
        <f>531+428+4+63</f>
        <v>1026</v>
      </c>
      <c r="E99" s="1">
        <f>531+428+4+63</f>
        <v>1026</v>
      </c>
      <c r="F99" s="1">
        <f t="shared" si="4"/>
        <v>1026</v>
      </c>
    </row>
    <row r="100" spans="1:6" x14ac:dyDescent="0.2">
      <c r="A100" s="1" t="s">
        <v>8</v>
      </c>
      <c r="B100" s="1" t="s">
        <v>20</v>
      </c>
      <c r="C100" s="1">
        <v>2018</v>
      </c>
      <c r="D100" s="1">
        <f>22+45+61+0+20+20+50+20+69+131</f>
        <v>438</v>
      </c>
      <c r="E100" s="1">
        <f>22+90+61+5+25+20+54+22+69+133</f>
        <v>501</v>
      </c>
      <c r="F100" s="1">
        <f t="shared" si="4"/>
        <v>469.5</v>
      </c>
    </row>
    <row r="101" spans="1:6" x14ac:dyDescent="0.2">
      <c r="A101" s="1" t="s">
        <v>9</v>
      </c>
      <c r="B101" s="1" t="s">
        <v>20</v>
      </c>
      <c r="C101" s="1">
        <v>2018</v>
      </c>
      <c r="D101" s="1">
        <f>1+21+238+25+1+254+30+198+140+18+129+56+24+359+220</f>
        <v>1714</v>
      </c>
      <c r="E101" s="1">
        <f>1+21+238+25+2+282+37+219+140+18+129+56+24+359+248</f>
        <v>1799</v>
      </c>
      <c r="F101" s="1">
        <f t="shared" si="4"/>
        <v>1756.5</v>
      </c>
    </row>
    <row r="102" spans="1:6" x14ac:dyDescent="0.2">
      <c r="A102" s="1" t="s">
        <v>8</v>
      </c>
      <c r="B102" s="1" t="s">
        <v>21</v>
      </c>
      <c r="C102" s="1">
        <v>2018</v>
      </c>
      <c r="D102" s="1">
        <v>4</v>
      </c>
      <c r="E102" s="1">
        <v>6</v>
      </c>
      <c r="F102" s="1">
        <f t="shared" si="4"/>
        <v>5</v>
      </c>
    </row>
    <row r="103" spans="1:6" x14ac:dyDescent="0.2">
      <c r="A103" s="1" t="s">
        <v>9</v>
      </c>
      <c r="B103" s="1" t="s">
        <v>21</v>
      </c>
      <c r="C103" s="1">
        <v>2018</v>
      </c>
      <c r="D103" s="1">
        <v>32</v>
      </c>
      <c r="E103" s="1">
        <v>32</v>
      </c>
      <c r="F103" s="1">
        <f t="shared" si="4"/>
        <v>32</v>
      </c>
    </row>
    <row r="104" spans="1:6" x14ac:dyDescent="0.2">
      <c r="A104" s="1" t="s">
        <v>6</v>
      </c>
      <c r="B104" s="1" t="s">
        <v>22</v>
      </c>
      <c r="C104" s="1">
        <v>2018</v>
      </c>
      <c r="D104" s="1">
        <f>9+13+106+4+33</f>
        <v>165</v>
      </c>
      <c r="E104" s="1">
        <v>165</v>
      </c>
      <c r="F104" s="1">
        <f t="shared" si="4"/>
        <v>165</v>
      </c>
    </row>
    <row r="105" spans="1:6" x14ac:dyDescent="0.2">
      <c r="A105" s="1" t="s">
        <v>8</v>
      </c>
      <c r="B105" s="1" t="s">
        <v>22</v>
      </c>
      <c r="C105" s="1">
        <v>2018</v>
      </c>
      <c r="D105" s="1">
        <f>15+1+72+4</f>
        <v>92</v>
      </c>
      <c r="E105" s="1">
        <f>20+1+72+4</f>
        <v>97</v>
      </c>
      <c r="F105" s="1">
        <f t="shared" si="4"/>
        <v>94.5</v>
      </c>
    </row>
    <row r="106" spans="1:6" x14ac:dyDescent="0.2">
      <c r="A106" s="1" t="s">
        <v>8</v>
      </c>
      <c r="B106" s="1" t="s">
        <v>17</v>
      </c>
      <c r="C106" s="1">
        <v>2018</v>
      </c>
      <c r="D106" s="1">
        <f>3+2+41+282+20</f>
        <v>348</v>
      </c>
      <c r="E106" s="1">
        <f>3+2+62+357+23</f>
        <v>447</v>
      </c>
      <c r="F106" s="1">
        <f t="shared" si="4"/>
        <v>397.5</v>
      </c>
    </row>
    <row r="107" spans="1:6" x14ac:dyDescent="0.2">
      <c r="A107" s="1" t="s">
        <v>8</v>
      </c>
      <c r="B107" s="1" t="s">
        <v>18</v>
      </c>
      <c r="C107" s="1">
        <v>2018</v>
      </c>
      <c r="D107" s="1">
        <f>55+37+10</f>
        <v>102</v>
      </c>
      <c r="E107" s="1">
        <f>58+42+10</f>
        <v>110</v>
      </c>
      <c r="F107" s="1">
        <f t="shared" si="4"/>
        <v>106</v>
      </c>
    </row>
    <row r="108" spans="1:6" x14ac:dyDescent="0.2">
      <c r="A108" s="1" t="s">
        <v>8</v>
      </c>
      <c r="B108" s="1" t="s">
        <v>19</v>
      </c>
      <c r="C108" s="1">
        <v>2018</v>
      </c>
      <c r="D108" s="1">
        <f>1+84</f>
        <v>85</v>
      </c>
      <c r="E108" s="1">
        <f>2+94</f>
        <v>96</v>
      </c>
      <c r="F108" s="1">
        <f t="shared" si="4"/>
        <v>90.5</v>
      </c>
    </row>
    <row r="109" spans="1:6" x14ac:dyDescent="0.2">
      <c r="A109" s="1" t="s">
        <v>6</v>
      </c>
      <c r="B109" s="1" t="s">
        <v>15</v>
      </c>
      <c r="C109" s="1">
        <v>2018</v>
      </c>
      <c r="D109" s="1">
        <f>800+300+752+2109</f>
        <v>3961</v>
      </c>
      <c r="E109" s="1">
        <f>800+300+752+2109</f>
        <v>3961</v>
      </c>
      <c r="F109" s="1">
        <f t="shared" si="4"/>
        <v>3961</v>
      </c>
    </row>
    <row r="110" spans="1:6" x14ac:dyDescent="0.2">
      <c r="A110" s="1" t="s">
        <v>6</v>
      </c>
      <c r="B110" s="1" t="s">
        <v>13</v>
      </c>
      <c r="C110" s="1">
        <v>2018</v>
      </c>
      <c r="D110" s="1">
        <f>133+0+35+429+130+216+110+50+83+46</f>
        <v>1232</v>
      </c>
      <c r="E110" s="1">
        <f>133+0+35+429+130+216+110+50+83+46</f>
        <v>1232</v>
      </c>
      <c r="F110" s="1">
        <f t="shared" si="4"/>
        <v>1232</v>
      </c>
    </row>
    <row r="111" spans="1:6" x14ac:dyDescent="0.2">
      <c r="A111" s="1" t="s">
        <v>30</v>
      </c>
      <c r="B111" s="1" t="s">
        <v>25</v>
      </c>
      <c r="C111" s="1">
        <v>2018</v>
      </c>
      <c r="D111" s="1">
        <v>56</v>
      </c>
      <c r="E111" s="1">
        <v>56</v>
      </c>
      <c r="F111" s="1">
        <v>56</v>
      </c>
    </row>
    <row r="112" spans="1:6" x14ac:dyDescent="0.2">
      <c r="A112" s="1" t="s">
        <v>30</v>
      </c>
      <c r="B112" s="1" t="s">
        <v>26</v>
      </c>
      <c r="C112" s="1">
        <v>2018</v>
      </c>
      <c r="D112" s="1">
        <v>1750</v>
      </c>
      <c r="E112" s="1">
        <v>1750</v>
      </c>
      <c r="F112" s="1">
        <v>1750</v>
      </c>
    </row>
    <row r="113" spans="1:6" x14ac:dyDescent="0.2">
      <c r="A113" s="1" t="s">
        <v>30</v>
      </c>
      <c r="B113" s="1" t="s">
        <v>27</v>
      </c>
      <c r="C113" s="1">
        <v>2018</v>
      </c>
      <c r="D113" s="1">
        <v>4393</v>
      </c>
      <c r="E113" s="1">
        <v>4393</v>
      </c>
      <c r="F113" s="1">
        <v>4393</v>
      </c>
    </row>
    <row r="114" spans="1:6" x14ac:dyDescent="0.2">
      <c r="A114" s="1" t="s">
        <v>30</v>
      </c>
      <c r="B114" s="1" t="s">
        <v>28</v>
      </c>
      <c r="C114" s="1">
        <v>2018</v>
      </c>
      <c r="D114" s="1">
        <v>3660</v>
      </c>
      <c r="E114" s="1">
        <v>3660</v>
      </c>
      <c r="F114" s="1">
        <v>3660</v>
      </c>
    </row>
    <row r="115" spans="1:6" x14ac:dyDescent="0.2">
      <c r="A115" s="1" t="s">
        <v>30</v>
      </c>
      <c r="B115" s="1" t="s">
        <v>22</v>
      </c>
      <c r="C115" s="1">
        <v>2018</v>
      </c>
      <c r="D115" s="1">
        <v>1183</v>
      </c>
      <c r="E115" s="1">
        <v>1183</v>
      </c>
      <c r="F115" s="1">
        <v>1183</v>
      </c>
    </row>
    <row r="116" spans="1:6" x14ac:dyDescent="0.2">
      <c r="A116" s="1" t="s">
        <v>30</v>
      </c>
      <c r="B116" s="1" t="s">
        <v>20</v>
      </c>
      <c r="C116" s="1">
        <v>2018</v>
      </c>
      <c r="D116" s="1">
        <v>2240</v>
      </c>
      <c r="E116" s="1">
        <v>2240</v>
      </c>
      <c r="F116" s="1">
        <v>2240</v>
      </c>
    </row>
    <row r="117" spans="1:6" x14ac:dyDescent="0.2">
      <c r="A117" s="1" t="s">
        <v>30</v>
      </c>
      <c r="B117" s="1" t="s">
        <v>29</v>
      </c>
      <c r="C117" s="1">
        <v>2018</v>
      </c>
      <c r="D117" s="1">
        <v>1080</v>
      </c>
      <c r="E117" s="1">
        <v>1080</v>
      </c>
      <c r="F117" s="1">
        <v>1080</v>
      </c>
    </row>
    <row r="118" spans="1:6" x14ac:dyDescent="0.2">
      <c r="A118" s="1" t="s">
        <v>30</v>
      </c>
      <c r="B118" s="1" t="s">
        <v>16</v>
      </c>
      <c r="C118" s="1">
        <v>2018</v>
      </c>
      <c r="D118" s="1">
        <v>2488</v>
      </c>
      <c r="E118" s="1">
        <v>2488</v>
      </c>
      <c r="F118" s="1">
        <v>2488</v>
      </c>
    </row>
    <row r="119" spans="1:6" x14ac:dyDescent="0.2">
      <c r="A119" s="1" t="s">
        <v>6</v>
      </c>
      <c r="B119" s="1" t="s">
        <v>7</v>
      </c>
      <c r="C119" s="1">
        <v>2019</v>
      </c>
      <c r="D119" s="1">
        <f>76+24+13+71+20+67</f>
        <v>271</v>
      </c>
      <c r="E119" s="1">
        <f>76+24+13+71+20+67</f>
        <v>271</v>
      </c>
      <c r="F119" s="1">
        <f>AVERAGE(D119:E119)</f>
        <v>271</v>
      </c>
    </row>
    <row r="120" spans="1:6" x14ac:dyDescent="0.2">
      <c r="A120" s="1" t="s">
        <v>8</v>
      </c>
      <c r="B120" s="1" t="s">
        <v>7</v>
      </c>
      <c r="C120" s="1">
        <v>2019</v>
      </c>
      <c r="D120" s="1">
        <f>8+2+65+134+27+33+2</f>
        <v>271</v>
      </c>
      <c r="E120" s="1">
        <f>12+2+67+137+27+33+2</f>
        <v>280</v>
      </c>
      <c r="F120" s="1">
        <f>AVERAGE(D120:E120)</f>
        <v>275.5</v>
      </c>
    </row>
    <row r="121" spans="1:6" x14ac:dyDescent="0.2">
      <c r="A121" s="1" t="s">
        <v>9</v>
      </c>
      <c r="B121" s="1" t="s">
        <v>7</v>
      </c>
      <c r="C121" s="1">
        <v>2019</v>
      </c>
      <c r="D121" s="1">
        <f>12</f>
        <v>12</v>
      </c>
      <c r="E121" s="1">
        <v>12</v>
      </c>
      <c r="F121" s="1">
        <f>AVERAGE(D121:E121)</f>
        <v>12</v>
      </c>
    </row>
    <row r="122" spans="1:6" x14ac:dyDescent="0.2">
      <c r="A122" s="1" t="s">
        <v>8</v>
      </c>
      <c r="B122" s="1" t="s">
        <v>10</v>
      </c>
      <c r="C122" s="1">
        <v>2019</v>
      </c>
      <c r="D122" s="1">
        <f>261+50</f>
        <v>311</v>
      </c>
      <c r="E122" s="1">
        <f>469+51</f>
        <v>520</v>
      </c>
      <c r="F122" s="1">
        <f>AVERAGE(D122:E122)</f>
        <v>415.5</v>
      </c>
    </row>
    <row r="123" spans="1:6" x14ac:dyDescent="0.2">
      <c r="A123" s="1" t="s">
        <v>9</v>
      </c>
      <c r="B123" s="1" t="s">
        <v>10</v>
      </c>
      <c r="C123" s="1">
        <v>2019</v>
      </c>
      <c r="D123" s="1" t="s">
        <v>23</v>
      </c>
      <c r="E123" s="1" t="s">
        <v>23</v>
      </c>
      <c r="F123" s="1" t="s">
        <v>23</v>
      </c>
    </row>
    <row r="124" spans="1:6" x14ac:dyDescent="0.2">
      <c r="A124" s="1" t="s">
        <v>8</v>
      </c>
      <c r="B124" s="1" t="s">
        <v>11</v>
      </c>
      <c r="C124" s="1">
        <v>2019</v>
      </c>
      <c r="D124" s="1">
        <f>176+815+83</f>
        <v>1074</v>
      </c>
      <c r="E124" s="1">
        <f>183+870+83</f>
        <v>1136</v>
      </c>
      <c r="F124" s="1">
        <f t="shared" ref="F124:F150" si="5">AVERAGE(D124:E124)</f>
        <v>1105</v>
      </c>
    </row>
    <row r="125" spans="1:6" x14ac:dyDescent="0.2">
      <c r="A125" s="1" t="s">
        <v>9</v>
      </c>
      <c r="B125" s="1" t="s">
        <v>11</v>
      </c>
      <c r="C125" s="1">
        <v>2019</v>
      </c>
      <c r="D125" s="1">
        <f>5</f>
        <v>5</v>
      </c>
      <c r="E125" s="1">
        <v>7</v>
      </c>
      <c r="F125" s="1">
        <f t="shared" si="5"/>
        <v>6</v>
      </c>
    </row>
    <row r="126" spans="1:6" x14ac:dyDescent="0.2">
      <c r="A126" s="1" t="s">
        <v>8</v>
      </c>
      <c r="B126" s="1" t="s">
        <v>12</v>
      </c>
      <c r="C126" s="1">
        <v>2019</v>
      </c>
      <c r="D126" s="1">
        <v>21428</v>
      </c>
      <c r="E126" s="1">
        <v>21637</v>
      </c>
      <c r="F126" s="1">
        <f t="shared" si="5"/>
        <v>21532.5</v>
      </c>
    </row>
    <row r="127" spans="1:6" x14ac:dyDescent="0.2">
      <c r="A127" s="1" t="s">
        <v>8</v>
      </c>
      <c r="B127" s="1" t="s">
        <v>13</v>
      </c>
      <c r="C127" s="1">
        <v>2019</v>
      </c>
      <c r="D127" s="1">
        <f>143+75+440</f>
        <v>658</v>
      </c>
      <c r="E127" s="1">
        <f>143+75+440</f>
        <v>658</v>
      </c>
      <c r="F127" s="1">
        <f t="shared" si="5"/>
        <v>658</v>
      </c>
    </row>
    <row r="128" spans="1:6" x14ac:dyDescent="0.2">
      <c r="A128" s="1" t="s">
        <v>9</v>
      </c>
      <c r="B128" s="1" t="s">
        <v>13</v>
      </c>
      <c r="C128" s="1">
        <v>2019</v>
      </c>
      <c r="D128" s="1">
        <v>125</v>
      </c>
      <c r="E128" s="1">
        <v>125</v>
      </c>
      <c r="F128" s="1">
        <f t="shared" si="5"/>
        <v>125</v>
      </c>
    </row>
    <row r="129" spans="1:6" x14ac:dyDescent="0.2">
      <c r="A129" s="1" t="s">
        <v>6</v>
      </c>
      <c r="B129" s="1" t="s">
        <v>14</v>
      </c>
      <c r="C129" s="1">
        <v>2019</v>
      </c>
      <c r="D129" s="1">
        <f>28+440+968</f>
        <v>1436</v>
      </c>
      <c r="E129" s="1">
        <f>28+440+968</f>
        <v>1436</v>
      </c>
      <c r="F129" s="1">
        <f t="shared" si="5"/>
        <v>1436</v>
      </c>
    </row>
    <row r="130" spans="1:6" x14ac:dyDescent="0.2">
      <c r="A130" s="1" t="s">
        <v>8</v>
      </c>
      <c r="B130" s="1" t="s">
        <v>14</v>
      </c>
      <c r="C130" s="1">
        <v>2019</v>
      </c>
      <c r="D130" s="1">
        <f>179+195+105+219+106+26+215+95+318+246+117+34+75+75+818+55+137+239+25+49+14</f>
        <v>3342</v>
      </c>
      <c r="E130" s="1">
        <f>179+195+105+219+106+26+215+95+318+246+117+34+75+75+818+55+137+239+25+49+14</f>
        <v>3342</v>
      </c>
      <c r="F130" s="1">
        <f t="shared" si="5"/>
        <v>3342</v>
      </c>
    </row>
    <row r="131" spans="1:6" x14ac:dyDescent="0.2">
      <c r="A131" s="1" t="s">
        <v>9</v>
      </c>
      <c r="B131" s="1" t="s">
        <v>14</v>
      </c>
      <c r="C131" s="1">
        <v>2019</v>
      </c>
      <c r="D131" s="1">
        <f>240+55+142+71+81</f>
        <v>589</v>
      </c>
      <c r="E131" s="1">
        <f>240+55+142+71+81</f>
        <v>589</v>
      </c>
      <c r="F131" s="1">
        <f t="shared" si="5"/>
        <v>589</v>
      </c>
    </row>
    <row r="132" spans="1:6" x14ac:dyDescent="0.2">
      <c r="A132" s="1" t="s">
        <v>8</v>
      </c>
      <c r="B132" s="1" t="s">
        <v>15</v>
      </c>
      <c r="C132" s="1">
        <v>2019</v>
      </c>
      <c r="D132" s="1">
        <v>305</v>
      </c>
      <c r="E132" s="1">
        <v>305</v>
      </c>
      <c r="F132" s="1">
        <f t="shared" si="5"/>
        <v>305</v>
      </c>
    </row>
    <row r="133" spans="1:6" x14ac:dyDescent="0.2">
      <c r="A133" s="1" t="s">
        <v>6</v>
      </c>
      <c r="B133" s="1" t="s">
        <v>16</v>
      </c>
      <c r="C133" s="1">
        <v>2019</v>
      </c>
      <c r="D133" s="1">
        <f>580+20+139+167</f>
        <v>906</v>
      </c>
      <c r="E133" s="1">
        <f>580+30+139+167</f>
        <v>916</v>
      </c>
      <c r="F133" s="1">
        <f t="shared" si="5"/>
        <v>911</v>
      </c>
    </row>
    <row r="134" spans="1:6" x14ac:dyDescent="0.2">
      <c r="A134" s="1" t="s">
        <v>8</v>
      </c>
      <c r="B134" s="1" t="s">
        <v>16</v>
      </c>
      <c r="C134" s="1">
        <v>2019</v>
      </c>
      <c r="D134" s="1">
        <f>12</f>
        <v>12</v>
      </c>
      <c r="E134" s="1">
        <v>12</v>
      </c>
      <c r="F134" s="1">
        <f t="shared" si="5"/>
        <v>12</v>
      </c>
    </row>
    <row r="135" spans="1:6" x14ac:dyDescent="0.2">
      <c r="A135" s="1" t="s">
        <v>9</v>
      </c>
      <c r="B135" s="1" t="s">
        <v>16</v>
      </c>
      <c r="C135" s="1">
        <v>2019</v>
      </c>
      <c r="D135" s="1">
        <f>2521+2164</f>
        <v>4685</v>
      </c>
      <c r="E135" s="1">
        <f>2521+2164</f>
        <v>4685</v>
      </c>
      <c r="F135" s="1">
        <f t="shared" si="5"/>
        <v>4685</v>
      </c>
    </row>
    <row r="136" spans="1:6" x14ac:dyDescent="0.2">
      <c r="A136" s="1" t="s">
        <v>24</v>
      </c>
      <c r="B136" s="1" t="s">
        <v>16</v>
      </c>
      <c r="C136" s="1">
        <v>2019</v>
      </c>
      <c r="D136" s="1">
        <f>10+600</f>
        <v>610</v>
      </c>
      <c r="E136" s="1">
        <f>10+1100</f>
        <v>1110</v>
      </c>
      <c r="F136" s="1">
        <f t="shared" si="5"/>
        <v>860</v>
      </c>
    </row>
    <row r="137" spans="1:6" x14ac:dyDescent="0.2">
      <c r="A137" s="1" t="s">
        <v>6</v>
      </c>
      <c r="B137" s="1" t="s">
        <v>20</v>
      </c>
      <c r="C137" s="1">
        <v>2019</v>
      </c>
      <c r="D137" s="1">
        <f>234+220+75+7+21+5+66</f>
        <v>628</v>
      </c>
      <c r="E137" s="1">
        <v>628</v>
      </c>
      <c r="F137" s="1">
        <f t="shared" si="5"/>
        <v>628</v>
      </c>
    </row>
    <row r="138" spans="1:6" x14ac:dyDescent="0.2">
      <c r="A138" s="1" t="s">
        <v>8</v>
      </c>
      <c r="B138" s="1" t="s">
        <v>20</v>
      </c>
      <c r="C138" s="1">
        <v>2019</v>
      </c>
      <c r="D138" s="1">
        <f>17+31+59+1+4+18+39+37+46+5</f>
        <v>257</v>
      </c>
      <c r="E138" s="1">
        <f>17+31+65+1+4+18+39+37+46+5</f>
        <v>263</v>
      </c>
      <c r="F138" s="1">
        <f t="shared" si="5"/>
        <v>260</v>
      </c>
    </row>
    <row r="139" spans="1:6" x14ac:dyDescent="0.2">
      <c r="A139" s="1" t="s">
        <v>9</v>
      </c>
      <c r="B139" s="1" t="s">
        <v>20</v>
      </c>
      <c r="C139" s="1">
        <v>2019</v>
      </c>
      <c r="D139" s="1">
        <f>1+16+262+15+0+298+67+315+104+2+44+112+12+315+285</f>
        <v>1848</v>
      </c>
      <c r="E139" s="1">
        <f>1+16+262+15+1+307+73+356+150+5+44+112+12+315+341</f>
        <v>2010</v>
      </c>
      <c r="F139" s="1">
        <f t="shared" si="5"/>
        <v>1929</v>
      </c>
    </row>
    <row r="140" spans="1:6" x14ac:dyDescent="0.2">
      <c r="A140" s="1" t="s">
        <v>24</v>
      </c>
      <c r="B140" s="1" t="s">
        <v>20</v>
      </c>
      <c r="C140" s="1">
        <v>2019</v>
      </c>
      <c r="D140" s="1">
        <v>191</v>
      </c>
      <c r="E140" s="1">
        <v>191</v>
      </c>
      <c r="F140" s="1">
        <f t="shared" si="5"/>
        <v>191</v>
      </c>
    </row>
    <row r="141" spans="1:6" x14ac:dyDescent="0.2">
      <c r="A141" s="1" t="s">
        <v>6</v>
      </c>
      <c r="B141" s="1" t="s">
        <v>21</v>
      </c>
      <c r="C141" s="1">
        <v>2019</v>
      </c>
      <c r="D141" s="1">
        <v>15</v>
      </c>
      <c r="E141" s="1">
        <v>15</v>
      </c>
      <c r="F141" s="1">
        <f t="shared" si="5"/>
        <v>15</v>
      </c>
    </row>
    <row r="142" spans="1:6" x14ac:dyDescent="0.2">
      <c r="A142" s="1" t="s">
        <v>8</v>
      </c>
      <c r="B142" s="1" t="s">
        <v>21</v>
      </c>
      <c r="C142" s="1">
        <v>2019</v>
      </c>
      <c r="D142" s="1">
        <v>8</v>
      </c>
      <c r="E142" s="1">
        <v>8</v>
      </c>
      <c r="F142" s="1">
        <f t="shared" si="5"/>
        <v>8</v>
      </c>
    </row>
    <row r="143" spans="1:6" x14ac:dyDescent="0.2">
      <c r="A143" s="1" t="s">
        <v>9</v>
      </c>
      <c r="B143" s="1" t="s">
        <v>21</v>
      </c>
      <c r="C143" s="1">
        <v>2019</v>
      </c>
      <c r="D143" s="1">
        <v>39</v>
      </c>
      <c r="E143" s="1">
        <v>39</v>
      </c>
      <c r="F143" s="1">
        <f t="shared" si="5"/>
        <v>39</v>
      </c>
    </row>
    <row r="144" spans="1:6" x14ac:dyDescent="0.2">
      <c r="A144" s="1" t="s">
        <v>6</v>
      </c>
      <c r="B144" s="1" t="s">
        <v>22</v>
      </c>
      <c r="C144" s="1">
        <v>2019</v>
      </c>
      <c r="D144" s="1">
        <f>3+22+216+14</f>
        <v>255</v>
      </c>
      <c r="E144" s="1">
        <v>255</v>
      </c>
      <c r="F144" s="1">
        <f t="shared" si="5"/>
        <v>255</v>
      </c>
    </row>
    <row r="145" spans="1:6" x14ac:dyDescent="0.2">
      <c r="A145" s="1" t="s">
        <v>8</v>
      </c>
      <c r="B145" s="1" t="s">
        <v>22</v>
      </c>
      <c r="C145" s="1">
        <v>2019</v>
      </c>
      <c r="D145" s="1">
        <f>15+20</f>
        <v>35</v>
      </c>
      <c r="E145" s="1">
        <f>20+20</f>
        <v>40</v>
      </c>
      <c r="F145" s="1">
        <f t="shared" si="5"/>
        <v>37.5</v>
      </c>
    </row>
    <row r="146" spans="1:6" x14ac:dyDescent="0.2">
      <c r="A146" s="1" t="s">
        <v>8</v>
      </c>
      <c r="B146" s="1" t="s">
        <v>17</v>
      </c>
      <c r="C146" s="1">
        <v>2019</v>
      </c>
      <c r="D146" s="1">
        <f>3+2+45+501+16</f>
        <v>567</v>
      </c>
      <c r="E146" s="1">
        <f>3+2+47+568+18</f>
        <v>638</v>
      </c>
      <c r="F146" s="1">
        <f t="shared" si="5"/>
        <v>602.5</v>
      </c>
    </row>
    <row r="147" spans="1:6" x14ac:dyDescent="0.2">
      <c r="A147" s="1" t="s">
        <v>8</v>
      </c>
      <c r="B147" s="1" t="s">
        <v>18</v>
      </c>
      <c r="C147" s="1">
        <v>2019</v>
      </c>
      <c r="D147" s="1">
        <f>58+54+9</f>
        <v>121</v>
      </c>
      <c r="E147" s="1">
        <f>59+56+14</f>
        <v>129</v>
      </c>
      <c r="F147" s="1">
        <f t="shared" si="5"/>
        <v>125</v>
      </c>
    </row>
    <row r="148" spans="1:6" x14ac:dyDescent="0.2">
      <c r="A148" s="1" t="s">
        <v>8</v>
      </c>
      <c r="B148" s="1" t="s">
        <v>19</v>
      </c>
      <c r="C148" s="1">
        <v>2019</v>
      </c>
      <c r="D148" s="1">
        <v>66</v>
      </c>
      <c r="E148" s="1">
        <v>145</v>
      </c>
      <c r="F148" s="1">
        <f t="shared" si="5"/>
        <v>105.5</v>
      </c>
    </row>
    <row r="149" spans="1:6" x14ac:dyDescent="0.2">
      <c r="A149" s="1" t="s">
        <v>6</v>
      </c>
      <c r="B149" s="1" t="s">
        <v>15</v>
      </c>
      <c r="C149" s="1">
        <v>2019</v>
      </c>
      <c r="D149" s="1">
        <f>2456+1333+345+864</f>
        <v>4998</v>
      </c>
      <c r="E149" s="1">
        <f>2456+1333+345+864</f>
        <v>4998</v>
      </c>
      <c r="F149" s="1">
        <f t="shared" si="5"/>
        <v>4998</v>
      </c>
    </row>
    <row r="150" spans="1:6" x14ac:dyDescent="0.2">
      <c r="A150" s="1" t="s">
        <v>6</v>
      </c>
      <c r="B150" s="1" t="s">
        <v>13</v>
      </c>
      <c r="C150" s="1">
        <v>2019</v>
      </c>
      <c r="D150" s="1">
        <f>125+0+29+497+110+211+140+49+131+48</f>
        <v>1340</v>
      </c>
      <c r="E150" s="1">
        <f>125+0+29+497+110+211+140+49+131+48</f>
        <v>1340</v>
      </c>
      <c r="F150" s="1">
        <f t="shared" si="5"/>
        <v>1340</v>
      </c>
    </row>
    <row r="151" spans="1:6" x14ac:dyDescent="0.2">
      <c r="A151" s="1" t="s">
        <v>30</v>
      </c>
      <c r="B151" s="1" t="s">
        <v>25</v>
      </c>
      <c r="C151" s="1">
        <v>2019</v>
      </c>
      <c r="D151" s="1">
        <v>57</v>
      </c>
      <c r="E151" s="1">
        <v>57</v>
      </c>
      <c r="F151" s="1">
        <v>57</v>
      </c>
    </row>
    <row r="152" spans="1:6" x14ac:dyDescent="0.2">
      <c r="A152" s="1" t="s">
        <v>30</v>
      </c>
      <c r="B152" s="1" t="s">
        <v>26</v>
      </c>
      <c r="C152" s="1">
        <v>2019</v>
      </c>
      <c r="D152" s="1">
        <v>1155</v>
      </c>
      <c r="E152" s="1">
        <v>1155</v>
      </c>
      <c r="F152" s="1">
        <v>1155</v>
      </c>
    </row>
    <row r="153" spans="1:6" x14ac:dyDescent="0.2">
      <c r="A153" s="1" t="s">
        <v>30</v>
      </c>
      <c r="B153" s="1" t="s">
        <v>27</v>
      </c>
      <c r="C153" s="1">
        <v>2019</v>
      </c>
      <c r="D153" s="1">
        <v>5172</v>
      </c>
      <c r="E153" s="1">
        <v>5172</v>
      </c>
      <c r="F153" s="1">
        <v>5172</v>
      </c>
    </row>
    <row r="154" spans="1:6" x14ac:dyDescent="0.2">
      <c r="A154" s="1" t="s">
        <v>30</v>
      </c>
      <c r="B154" s="1" t="s">
        <v>28</v>
      </c>
      <c r="C154" s="1">
        <v>2019</v>
      </c>
      <c r="D154" s="1">
        <v>2884</v>
      </c>
      <c r="E154" s="1">
        <v>2884</v>
      </c>
      <c r="F154" s="1">
        <v>2884</v>
      </c>
    </row>
    <row r="155" spans="1:6" x14ac:dyDescent="0.2">
      <c r="A155" s="1" t="s">
        <v>30</v>
      </c>
      <c r="B155" s="1" t="s">
        <v>22</v>
      </c>
      <c r="C155" s="1">
        <v>2019</v>
      </c>
      <c r="D155" s="1">
        <v>1059</v>
      </c>
      <c r="E155" s="1">
        <v>1059</v>
      </c>
      <c r="F155" s="1">
        <v>1059</v>
      </c>
    </row>
    <row r="156" spans="1:6" x14ac:dyDescent="0.2">
      <c r="A156" s="1" t="s">
        <v>30</v>
      </c>
      <c r="B156" s="1" t="s">
        <v>20</v>
      </c>
      <c r="C156" s="1">
        <v>2019</v>
      </c>
      <c r="D156" s="1">
        <v>2094</v>
      </c>
      <c r="E156" s="1">
        <v>2094</v>
      </c>
      <c r="F156" s="1">
        <v>2094</v>
      </c>
    </row>
    <row r="157" spans="1:6" x14ac:dyDescent="0.2">
      <c r="A157" s="1" t="s">
        <v>30</v>
      </c>
      <c r="B157" s="1" t="s">
        <v>29</v>
      </c>
      <c r="C157" s="1">
        <v>2019</v>
      </c>
      <c r="D157" s="1">
        <v>1165</v>
      </c>
      <c r="E157" s="1">
        <v>1165</v>
      </c>
      <c r="F157" s="1">
        <v>1165</v>
      </c>
    </row>
    <row r="158" spans="1:6" x14ac:dyDescent="0.2">
      <c r="A158" s="1" t="s">
        <v>30</v>
      </c>
      <c r="B158" s="1" t="s">
        <v>16</v>
      </c>
      <c r="C158" s="1">
        <v>2019</v>
      </c>
      <c r="D158" s="1">
        <v>3297</v>
      </c>
      <c r="E158" s="1">
        <v>3297</v>
      </c>
      <c r="F158" s="1">
        <v>3297</v>
      </c>
    </row>
    <row r="159" spans="1:6" x14ac:dyDescent="0.2">
      <c r="A159" s="1" t="s">
        <v>6</v>
      </c>
      <c r="B159" s="1" t="s">
        <v>7</v>
      </c>
      <c r="C159" s="1">
        <v>2020</v>
      </c>
      <c r="D159" s="1">
        <f>90+24+15+66+19+62</f>
        <v>276</v>
      </c>
      <c r="E159" s="1">
        <f>90+24+15+66+19+62</f>
        <v>276</v>
      </c>
      <c r="F159" s="1">
        <f>AVERAGE(D159:E159)</f>
        <v>276</v>
      </c>
    </row>
    <row r="160" spans="1:6" x14ac:dyDescent="0.2">
      <c r="A160" s="1" t="s">
        <v>8</v>
      </c>
      <c r="B160" s="1" t="s">
        <v>7</v>
      </c>
      <c r="C160" s="1">
        <v>2020</v>
      </c>
      <c r="D160" s="1">
        <f>9+5+74+155+21+25+5</f>
        <v>294</v>
      </c>
      <c r="E160" s="1">
        <f>10+7+77+156+21+25+5</f>
        <v>301</v>
      </c>
      <c r="F160" s="1">
        <f>AVERAGE(D160:E160)</f>
        <v>297.5</v>
      </c>
    </row>
    <row r="161" spans="1:6" x14ac:dyDescent="0.2">
      <c r="A161" s="1" t="s">
        <v>9</v>
      </c>
      <c r="B161" s="1" t="s">
        <v>7</v>
      </c>
      <c r="C161" s="1">
        <v>2020</v>
      </c>
      <c r="D161" s="1">
        <f>14</f>
        <v>14</v>
      </c>
      <c r="E161" s="1">
        <v>14</v>
      </c>
      <c r="F161" s="1">
        <f>AVERAGE(D161:E161)</f>
        <v>14</v>
      </c>
    </row>
    <row r="162" spans="1:6" x14ac:dyDescent="0.2">
      <c r="A162" s="1" t="s">
        <v>8</v>
      </c>
      <c r="B162" s="1" t="s">
        <v>10</v>
      </c>
      <c r="C162" s="1">
        <v>2020</v>
      </c>
      <c r="D162" s="1">
        <f>262+0+60</f>
        <v>322</v>
      </c>
      <c r="E162" s="1">
        <f>653+0+62</f>
        <v>715</v>
      </c>
      <c r="F162" s="1">
        <f>AVERAGE(D162:E162)</f>
        <v>518.5</v>
      </c>
    </row>
    <row r="163" spans="1:6" x14ac:dyDescent="0.2">
      <c r="A163" s="1" t="s">
        <v>9</v>
      </c>
      <c r="B163" s="1" t="s">
        <v>10</v>
      </c>
      <c r="C163" s="1">
        <v>2020</v>
      </c>
      <c r="D163" s="1" t="s">
        <v>23</v>
      </c>
      <c r="E163" s="1" t="s">
        <v>23</v>
      </c>
      <c r="F163" s="1" t="s">
        <v>23</v>
      </c>
    </row>
    <row r="164" spans="1:6" x14ac:dyDescent="0.2">
      <c r="A164" s="1" t="s">
        <v>8</v>
      </c>
      <c r="B164" s="1" t="s">
        <v>11</v>
      </c>
      <c r="C164" s="1">
        <v>2020</v>
      </c>
      <c r="D164" s="1">
        <f>196+3+17+815+62</f>
        <v>1093</v>
      </c>
      <c r="E164" s="1">
        <f>203+3+18+870+63</f>
        <v>1157</v>
      </c>
      <c r="F164" s="1">
        <f>AVERAGE(D164:E164)</f>
        <v>1125</v>
      </c>
    </row>
    <row r="165" spans="1:6" x14ac:dyDescent="0.2">
      <c r="A165" s="1" t="s">
        <v>9</v>
      </c>
      <c r="B165" s="1" t="s">
        <v>11</v>
      </c>
      <c r="C165" s="1">
        <v>2020</v>
      </c>
      <c r="D165" s="1">
        <f>1+11</f>
        <v>12</v>
      </c>
      <c r="E165" s="1">
        <v>12</v>
      </c>
      <c r="F165" s="1">
        <f>AVERAGE(D165:E165)</f>
        <v>12</v>
      </c>
    </row>
    <row r="166" spans="1:6" x14ac:dyDescent="0.2">
      <c r="A166" s="1" t="s">
        <v>8</v>
      </c>
      <c r="B166" s="1" t="s">
        <v>12</v>
      </c>
      <c r="C166" s="1">
        <v>2020</v>
      </c>
      <c r="D166" s="1">
        <v>20772</v>
      </c>
      <c r="E166" s="1">
        <v>21260</v>
      </c>
      <c r="F166" s="1">
        <f>AVERAGE(D166:E166)</f>
        <v>21016</v>
      </c>
    </row>
    <row r="167" spans="1:6" x14ac:dyDescent="0.2">
      <c r="A167" s="1" t="s">
        <v>8</v>
      </c>
      <c r="B167" s="1" t="s">
        <v>13</v>
      </c>
      <c r="C167" s="1">
        <v>2020</v>
      </c>
      <c r="D167" s="1" t="s">
        <v>23</v>
      </c>
      <c r="E167" s="1" t="s">
        <v>23</v>
      </c>
      <c r="F167" s="1" t="s">
        <v>23</v>
      </c>
    </row>
    <row r="168" spans="1:6" x14ac:dyDescent="0.2">
      <c r="A168" s="1" t="s">
        <v>9</v>
      </c>
      <c r="B168" s="1" t="s">
        <v>13</v>
      </c>
      <c r="C168" s="1">
        <v>2020</v>
      </c>
      <c r="D168" s="1" t="s">
        <v>23</v>
      </c>
      <c r="E168" s="1" t="s">
        <v>23</v>
      </c>
      <c r="F168" s="1" t="s">
        <v>23</v>
      </c>
    </row>
    <row r="169" spans="1:6" x14ac:dyDescent="0.2">
      <c r="A169" s="1" t="s">
        <v>6</v>
      </c>
      <c r="B169" s="1" t="s">
        <v>14</v>
      </c>
      <c r="C169" s="1">
        <v>2020</v>
      </c>
      <c r="D169" s="1">
        <f>23+380+931</f>
        <v>1334</v>
      </c>
      <c r="E169" s="1">
        <f>23+380+931</f>
        <v>1334</v>
      </c>
      <c r="F169" s="1">
        <f t="shared" ref="F169:F190" si="6">AVERAGE(D169:E169)</f>
        <v>1334</v>
      </c>
    </row>
    <row r="170" spans="1:6" x14ac:dyDescent="0.2">
      <c r="A170" s="1" t="s">
        <v>8</v>
      </c>
      <c r="B170" s="1" t="s">
        <v>14</v>
      </c>
      <c r="C170" s="1">
        <v>2020</v>
      </c>
      <c r="D170" s="1">
        <f>20+180+87+245+200+104+32+129+45</f>
        <v>1042</v>
      </c>
      <c r="E170" s="1">
        <f>20+180+87+245+200+104+32+129+45</f>
        <v>1042</v>
      </c>
      <c r="F170" s="1">
        <f t="shared" si="6"/>
        <v>1042</v>
      </c>
    </row>
    <row r="171" spans="1:6" x14ac:dyDescent="0.2">
      <c r="A171" s="1" t="s">
        <v>9</v>
      </c>
      <c r="B171" s="1" t="s">
        <v>14</v>
      </c>
      <c r="C171" s="1">
        <v>2020</v>
      </c>
      <c r="D171" s="1">
        <f>282+45+101+55+60</f>
        <v>543</v>
      </c>
      <c r="E171" s="1">
        <f>282+45+101+55+60</f>
        <v>543</v>
      </c>
      <c r="F171" s="1">
        <f t="shared" si="6"/>
        <v>543</v>
      </c>
    </row>
    <row r="172" spans="1:6" x14ac:dyDescent="0.2">
      <c r="A172" s="1" t="s">
        <v>8</v>
      </c>
      <c r="B172" s="1" t="s">
        <v>15</v>
      </c>
      <c r="C172" s="1">
        <v>2020</v>
      </c>
      <c r="D172" s="1">
        <f>599+265+289</f>
        <v>1153</v>
      </c>
      <c r="E172" s="1">
        <f>23+380+931</f>
        <v>1334</v>
      </c>
      <c r="F172" s="1">
        <f t="shared" si="6"/>
        <v>1243.5</v>
      </c>
    </row>
    <row r="173" spans="1:6" x14ac:dyDescent="0.2">
      <c r="A173" s="1" t="s">
        <v>6</v>
      </c>
      <c r="B173" s="1" t="s">
        <v>16</v>
      </c>
      <c r="C173" s="1">
        <v>2020</v>
      </c>
      <c r="D173" s="1">
        <f>950+37+33</f>
        <v>1020</v>
      </c>
      <c r="E173" s="1">
        <f>950+39+33</f>
        <v>1022</v>
      </c>
      <c r="F173" s="1">
        <f t="shared" si="6"/>
        <v>1021</v>
      </c>
    </row>
    <row r="174" spans="1:6" x14ac:dyDescent="0.2">
      <c r="A174" s="1" t="s">
        <v>8</v>
      </c>
      <c r="B174" s="1" t="s">
        <v>16</v>
      </c>
      <c r="C174" s="1">
        <v>2020</v>
      </c>
      <c r="D174" s="1">
        <f>10</f>
        <v>10</v>
      </c>
      <c r="E174" s="1">
        <v>20</v>
      </c>
      <c r="F174" s="1">
        <f t="shared" si="6"/>
        <v>15</v>
      </c>
    </row>
    <row r="175" spans="1:6" x14ac:dyDescent="0.2">
      <c r="A175" s="1" t="s">
        <v>9</v>
      </c>
      <c r="B175" s="1" t="s">
        <v>16</v>
      </c>
      <c r="C175" s="1">
        <v>2020</v>
      </c>
      <c r="D175" s="1">
        <f>3040+3244+15</f>
        <v>6299</v>
      </c>
      <c r="E175" s="1">
        <v>6299</v>
      </c>
      <c r="F175" s="1">
        <f t="shared" si="6"/>
        <v>6299</v>
      </c>
    </row>
    <row r="176" spans="1:6" x14ac:dyDescent="0.2">
      <c r="A176" s="1" t="s">
        <v>24</v>
      </c>
      <c r="B176" s="1" t="s">
        <v>16</v>
      </c>
      <c r="C176" s="1">
        <v>2020</v>
      </c>
      <c r="D176" s="1">
        <v>400</v>
      </c>
      <c r="E176" s="1">
        <v>500</v>
      </c>
      <c r="F176" s="1">
        <f t="shared" si="6"/>
        <v>450</v>
      </c>
    </row>
    <row r="177" spans="1:6" x14ac:dyDescent="0.2">
      <c r="A177" s="1" t="s">
        <v>6</v>
      </c>
      <c r="B177" s="1" t="s">
        <v>20</v>
      </c>
      <c r="C177" s="1">
        <v>2020</v>
      </c>
      <c r="D177" s="1">
        <f>313+575+63+5+5+148</f>
        <v>1109</v>
      </c>
      <c r="E177" s="1">
        <f>313+575+63+5+5+148</f>
        <v>1109</v>
      </c>
      <c r="F177" s="1">
        <f t="shared" si="6"/>
        <v>1109</v>
      </c>
    </row>
    <row r="178" spans="1:6" x14ac:dyDescent="0.2">
      <c r="A178" s="1" t="s">
        <v>8</v>
      </c>
      <c r="B178" s="1" t="s">
        <v>20</v>
      </c>
      <c r="C178" s="1">
        <v>2020</v>
      </c>
      <c r="D178" s="1">
        <f>22+9+17+1+2+37+32+26+10+46+73</f>
        <v>275</v>
      </c>
      <c r="E178" s="1">
        <f>22+9+30+1+2+39+32+27+10+47+73</f>
        <v>292</v>
      </c>
      <c r="F178" s="1">
        <f t="shared" si="6"/>
        <v>283.5</v>
      </c>
    </row>
    <row r="179" spans="1:6" x14ac:dyDescent="0.2">
      <c r="A179" s="1" t="s">
        <v>9</v>
      </c>
      <c r="B179" s="1" t="s">
        <v>20</v>
      </c>
      <c r="C179" s="1">
        <v>2020</v>
      </c>
      <c r="D179" s="1">
        <f>2+40+238+2+49+82+149+321+99+49+112+32+9+322+115+50</f>
        <v>1671</v>
      </c>
      <c r="E179" s="1">
        <f>3+40+238+2+50+82+154+338+112+49+112+32+9+322+115+50</f>
        <v>1708</v>
      </c>
      <c r="F179" s="1">
        <f t="shared" si="6"/>
        <v>1689.5</v>
      </c>
    </row>
    <row r="180" spans="1:6" x14ac:dyDescent="0.2">
      <c r="A180" s="1" t="s">
        <v>24</v>
      </c>
      <c r="B180" s="1" t="s">
        <v>20</v>
      </c>
      <c r="C180" s="1">
        <v>2020</v>
      </c>
      <c r="D180" s="1">
        <v>161</v>
      </c>
      <c r="E180" s="1">
        <v>161</v>
      </c>
      <c r="F180" s="1">
        <f t="shared" si="6"/>
        <v>161</v>
      </c>
    </row>
    <row r="181" spans="1:6" x14ac:dyDescent="0.2">
      <c r="A181" s="1" t="s">
        <v>6</v>
      </c>
      <c r="B181" s="1" t="s">
        <v>21</v>
      </c>
      <c r="C181" s="1">
        <v>2020</v>
      </c>
      <c r="D181" s="1">
        <f>2</f>
        <v>2</v>
      </c>
      <c r="E181" s="1">
        <v>3</v>
      </c>
      <c r="F181" s="1">
        <f t="shared" si="6"/>
        <v>2.5</v>
      </c>
    </row>
    <row r="182" spans="1:6" x14ac:dyDescent="0.2">
      <c r="A182" s="1" t="s">
        <v>8</v>
      </c>
      <c r="B182" s="1" t="s">
        <v>21</v>
      </c>
      <c r="C182" s="1">
        <v>2020</v>
      </c>
      <c r="D182" s="1">
        <v>2</v>
      </c>
      <c r="E182" s="1">
        <v>2</v>
      </c>
      <c r="F182" s="1">
        <f t="shared" si="6"/>
        <v>2</v>
      </c>
    </row>
    <row r="183" spans="1:6" x14ac:dyDescent="0.2">
      <c r="A183" s="1" t="s">
        <v>9</v>
      </c>
      <c r="B183" s="1" t="s">
        <v>21</v>
      </c>
      <c r="C183" s="1">
        <v>2020</v>
      </c>
      <c r="D183" s="1">
        <v>49</v>
      </c>
      <c r="E183" s="1">
        <v>49</v>
      </c>
      <c r="F183" s="1">
        <f t="shared" si="6"/>
        <v>49</v>
      </c>
    </row>
    <row r="184" spans="1:6" x14ac:dyDescent="0.2">
      <c r="A184" s="1" t="s">
        <v>6</v>
      </c>
      <c r="B184" s="1" t="s">
        <v>22</v>
      </c>
      <c r="C184" s="1">
        <v>2020</v>
      </c>
      <c r="D184" s="1">
        <f>150</f>
        <v>150</v>
      </c>
      <c r="E184" s="1">
        <v>150</v>
      </c>
      <c r="F184" s="1">
        <f t="shared" si="6"/>
        <v>150</v>
      </c>
    </row>
    <row r="185" spans="1:6" x14ac:dyDescent="0.2">
      <c r="A185" s="1" t="s">
        <v>8</v>
      </c>
      <c r="B185" s="1" t="s">
        <v>22</v>
      </c>
      <c r="C185" s="1">
        <v>2020</v>
      </c>
      <c r="D185" s="1">
        <f>15+2+2</f>
        <v>19</v>
      </c>
      <c r="E185" s="1">
        <f>30+2+2</f>
        <v>34</v>
      </c>
      <c r="F185" s="1">
        <f t="shared" si="6"/>
        <v>26.5</v>
      </c>
    </row>
    <row r="186" spans="1:6" x14ac:dyDescent="0.2">
      <c r="A186" s="1" t="s">
        <v>8</v>
      </c>
      <c r="B186" s="1" t="s">
        <v>17</v>
      </c>
      <c r="C186" s="1">
        <v>2020</v>
      </c>
      <c r="D186" s="1">
        <f>3+1+57+540</f>
        <v>601</v>
      </c>
      <c r="E186" s="1">
        <f>3+2+64+597</f>
        <v>666</v>
      </c>
      <c r="F186" s="1">
        <f t="shared" si="6"/>
        <v>633.5</v>
      </c>
    </row>
    <row r="187" spans="1:6" x14ac:dyDescent="0.2">
      <c r="A187" s="1" t="s">
        <v>8</v>
      </c>
      <c r="B187" s="1" t="s">
        <v>18</v>
      </c>
      <c r="C187" s="1">
        <v>2020</v>
      </c>
      <c r="D187" s="1">
        <f>51+62</f>
        <v>113</v>
      </c>
      <c r="E187" s="1">
        <f>55+68</f>
        <v>123</v>
      </c>
      <c r="F187" s="1">
        <f t="shared" si="6"/>
        <v>118</v>
      </c>
    </row>
    <row r="188" spans="1:6" x14ac:dyDescent="0.2">
      <c r="A188" s="1" t="s">
        <v>8</v>
      </c>
      <c r="B188" s="1" t="s">
        <v>19</v>
      </c>
      <c r="C188" s="1">
        <v>2020</v>
      </c>
      <c r="D188" s="1">
        <v>51</v>
      </c>
      <c r="E188" s="1">
        <v>199</v>
      </c>
      <c r="F188" s="1">
        <f t="shared" si="6"/>
        <v>125</v>
      </c>
    </row>
    <row r="189" spans="1:6" x14ac:dyDescent="0.2">
      <c r="A189" s="1" t="s">
        <v>6</v>
      </c>
      <c r="B189" s="1" t="s">
        <v>15</v>
      </c>
      <c r="C189" s="1">
        <v>2020</v>
      </c>
      <c r="D189" s="1">
        <f>4100+1225</f>
        <v>5325</v>
      </c>
      <c r="E189" s="1">
        <f>4100+1225</f>
        <v>5325</v>
      </c>
      <c r="F189" s="1">
        <f t="shared" si="6"/>
        <v>5325</v>
      </c>
    </row>
    <row r="190" spans="1:6" x14ac:dyDescent="0.2">
      <c r="A190" s="1" t="s">
        <v>9</v>
      </c>
      <c r="B190" s="1" t="s">
        <v>15</v>
      </c>
      <c r="C190" s="1">
        <v>2020</v>
      </c>
      <c r="D190" s="1">
        <v>24</v>
      </c>
      <c r="E190" s="1">
        <v>24</v>
      </c>
      <c r="F190" s="1">
        <f t="shared" si="6"/>
        <v>24</v>
      </c>
    </row>
    <row r="191" spans="1:6" x14ac:dyDescent="0.2">
      <c r="A191" s="1" t="s">
        <v>6</v>
      </c>
      <c r="B191" s="1" t="s">
        <v>13</v>
      </c>
      <c r="C191" s="1">
        <v>2020</v>
      </c>
      <c r="D191" s="1" t="s">
        <v>23</v>
      </c>
      <c r="E191" s="1" t="s">
        <v>23</v>
      </c>
      <c r="F191" s="1" t="s">
        <v>23</v>
      </c>
    </row>
    <row r="192" spans="1:6" x14ac:dyDescent="0.2">
      <c r="A192" s="1" t="s">
        <v>30</v>
      </c>
      <c r="B192" s="1" t="s">
        <v>25</v>
      </c>
      <c r="C192" s="1">
        <v>2020</v>
      </c>
      <c r="D192" s="1">
        <v>44</v>
      </c>
      <c r="E192" s="1">
        <v>44</v>
      </c>
      <c r="F192" s="1">
        <v>44</v>
      </c>
    </row>
    <row r="193" spans="1:6" x14ac:dyDescent="0.2">
      <c r="A193" s="1" t="s">
        <v>30</v>
      </c>
      <c r="B193" s="1" t="s">
        <v>26</v>
      </c>
      <c r="C193" s="1">
        <v>2020</v>
      </c>
      <c r="D193" s="1">
        <v>1753</v>
      </c>
      <c r="E193" s="1">
        <v>1753</v>
      </c>
      <c r="F193" s="1">
        <v>1753</v>
      </c>
    </row>
    <row r="194" spans="1:6" x14ac:dyDescent="0.2">
      <c r="A194" s="1" t="s">
        <v>30</v>
      </c>
      <c r="B194" s="1" t="s">
        <v>27</v>
      </c>
      <c r="C194" s="1">
        <v>2020</v>
      </c>
      <c r="D194" s="1">
        <v>6169</v>
      </c>
      <c r="E194" s="1">
        <v>6169</v>
      </c>
      <c r="F194" s="1">
        <v>6169</v>
      </c>
    </row>
    <row r="195" spans="1:6" x14ac:dyDescent="0.2">
      <c r="A195" s="1" t="s">
        <v>30</v>
      </c>
      <c r="B195" s="1" t="s">
        <v>28</v>
      </c>
      <c r="C195" s="1">
        <v>2020</v>
      </c>
      <c r="D195" s="1">
        <v>3892</v>
      </c>
      <c r="E195" s="1">
        <v>3892</v>
      </c>
      <c r="F195" s="1">
        <v>3892</v>
      </c>
    </row>
    <row r="196" spans="1:6" x14ac:dyDescent="0.2">
      <c r="A196" s="1" t="s">
        <v>30</v>
      </c>
      <c r="B196" s="1" t="s">
        <v>22</v>
      </c>
      <c r="C196" s="1">
        <v>2020</v>
      </c>
      <c r="D196" s="1">
        <v>1065</v>
      </c>
      <c r="E196" s="1">
        <v>1065</v>
      </c>
      <c r="F196" s="1">
        <v>1065</v>
      </c>
    </row>
    <row r="197" spans="1:6" x14ac:dyDescent="0.2">
      <c r="A197" s="1" t="s">
        <v>30</v>
      </c>
      <c r="B197" s="1" t="s">
        <v>20</v>
      </c>
      <c r="C197" s="1">
        <v>2020</v>
      </c>
      <c r="D197" s="1">
        <v>2349</v>
      </c>
      <c r="E197" s="1">
        <v>2349</v>
      </c>
      <c r="F197" s="1">
        <v>2349</v>
      </c>
    </row>
    <row r="198" spans="1:6" x14ac:dyDescent="0.2">
      <c r="A198" s="1" t="s">
        <v>30</v>
      </c>
      <c r="B198" s="1" t="s">
        <v>29</v>
      </c>
      <c r="C198" s="1">
        <v>2020</v>
      </c>
      <c r="D198" s="1">
        <v>1647</v>
      </c>
      <c r="E198" s="1">
        <v>1647</v>
      </c>
      <c r="F198" s="1">
        <v>1647</v>
      </c>
    </row>
    <row r="199" spans="1:6" x14ac:dyDescent="0.2">
      <c r="A199" s="1" t="s">
        <v>30</v>
      </c>
      <c r="B199" s="1" t="s">
        <v>16</v>
      </c>
      <c r="C199" s="1">
        <v>2020</v>
      </c>
      <c r="D199" s="1">
        <v>2536</v>
      </c>
      <c r="E199" s="1">
        <v>2536</v>
      </c>
      <c r="F199" s="1">
        <v>2536</v>
      </c>
    </row>
    <row r="200" spans="1:6" x14ac:dyDescent="0.2">
      <c r="A200" s="1" t="s">
        <v>8</v>
      </c>
      <c r="B200" s="1" t="s">
        <v>13</v>
      </c>
      <c r="C200" s="1">
        <v>2021</v>
      </c>
      <c r="D200" s="1">
        <v>581</v>
      </c>
      <c r="E200" s="1">
        <v>587</v>
      </c>
      <c r="F200" s="1">
        <f t="shared" ref="F200:F207" si="7">AVERAGE(D200:E200)</f>
        <v>584</v>
      </c>
    </row>
    <row r="201" spans="1:6" x14ac:dyDescent="0.2">
      <c r="A201" s="1" t="s">
        <v>6</v>
      </c>
      <c r="B201" s="1" t="s">
        <v>14</v>
      </c>
      <c r="C201" s="1">
        <v>2021</v>
      </c>
      <c r="D201" s="1">
        <v>1637</v>
      </c>
      <c r="E201" s="1">
        <v>1672</v>
      </c>
      <c r="F201" s="1">
        <f t="shared" si="7"/>
        <v>1654.5</v>
      </c>
    </row>
    <row r="202" spans="1:6" x14ac:dyDescent="0.2">
      <c r="A202" s="1" t="s">
        <v>8</v>
      </c>
      <c r="B202" s="1" t="s">
        <v>14</v>
      </c>
      <c r="C202" s="1">
        <v>2021</v>
      </c>
      <c r="D202" s="1">
        <v>4985</v>
      </c>
      <c r="E202" s="1">
        <v>5062</v>
      </c>
      <c r="F202" s="1">
        <f t="shared" si="7"/>
        <v>5023.5</v>
      </c>
    </row>
    <row r="203" spans="1:6" x14ac:dyDescent="0.2">
      <c r="A203" s="1" t="s">
        <v>9</v>
      </c>
      <c r="B203" s="1" t="s">
        <v>14</v>
      </c>
      <c r="C203" s="1">
        <v>2021</v>
      </c>
      <c r="D203" s="1">
        <v>1158</v>
      </c>
      <c r="E203" s="1">
        <v>1186</v>
      </c>
      <c r="F203" s="1">
        <f t="shared" si="7"/>
        <v>1172</v>
      </c>
    </row>
    <row r="204" spans="1:6" x14ac:dyDescent="0.2">
      <c r="A204" s="1" t="s">
        <v>8</v>
      </c>
      <c r="B204" s="1" t="s">
        <v>15</v>
      </c>
      <c r="C204" s="1">
        <v>2021</v>
      </c>
      <c r="D204" s="1">
        <v>1167</v>
      </c>
      <c r="E204" s="1">
        <v>1167</v>
      </c>
      <c r="F204" s="1">
        <f t="shared" si="7"/>
        <v>1167</v>
      </c>
    </row>
    <row r="205" spans="1:6" x14ac:dyDescent="0.2">
      <c r="A205" s="1" t="s">
        <v>6</v>
      </c>
      <c r="B205" s="1" t="s">
        <v>16</v>
      </c>
      <c r="C205" s="1">
        <v>2021</v>
      </c>
      <c r="D205" s="1">
        <f>950+44+42</f>
        <v>1036</v>
      </c>
      <c r="E205" s="1">
        <f>950+48+42</f>
        <v>1040</v>
      </c>
      <c r="F205" s="1">
        <f t="shared" si="7"/>
        <v>1038</v>
      </c>
    </row>
    <row r="206" spans="1:6" x14ac:dyDescent="0.2">
      <c r="A206" s="1" t="s">
        <v>8</v>
      </c>
      <c r="B206" s="1" t="s">
        <v>16</v>
      </c>
      <c r="C206" s="1">
        <v>2021</v>
      </c>
      <c r="D206" s="1">
        <f>1</f>
        <v>1</v>
      </c>
      <c r="E206" s="1">
        <v>1</v>
      </c>
      <c r="F206" s="1">
        <f t="shared" si="7"/>
        <v>1</v>
      </c>
    </row>
    <row r="207" spans="1:6" x14ac:dyDescent="0.2">
      <c r="A207" s="1" t="s">
        <v>9</v>
      </c>
      <c r="B207" s="1" t="s">
        <v>16</v>
      </c>
      <c r="C207" s="1">
        <v>2021</v>
      </c>
      <c r="D207" s="1">
        <f>2775+3919+190</f>
        <v>6884</v>
      </c>
      <c r="E207" s="1"/>
      <c r="F207" s="1">
        <f t="shared" si="7"/>
        <v>6884</v>
      </c>
    </row>
    <row r="208" spans="1:6" x14ac:dyDescent="0.2">
      <c r="A208" s="1" t="s">
        <v>24</v>
      </c>
      <c r="B208" s="1" t="s">
        <v>16</v>
      </c>
      <c r="C208" s="1">
        <v>2021</v>
      </c>
      <c r="D208" s="1" t="s">
        <v>23</v>
      </c>
      <c r="E208" s="1" t="s">
        <v>23</v>
      </c>
      <c r="F208" s="1">
        <v>800</v>
      </c>
    </row>
    <row r="209" spans="1:6" x14ac:dyDescent="0.2">
      <c r="A209" s="1" t="s">
        <v>6</v>
      </c>
      <c r="B209" s="1" t="s">
        <v>20</v>
      </c>
      <c r="C209" s="1">
        <v>2021</v>
      </c>
      <c r="D209" s="1">
        <f>237+422+9+9+60+119</f>
        <v>856</v>
      </c>
      <c r="E209" s="1">
        <f>270+422+9+9+60+119</f>
        <v>889</v>
      </c>
      <c r="F209" s="1">
        <f t="shared" ref="F209:F229" si="8">AVERAGE(D209:E209)</f>
        <v>872.5</v>
      </c>
    </row>
    <row r="210" spans="1:6" x14ac:dyDescent="0.2">
      <c r="A210" s="1" t="s">
        <v>8</v>
      </c>
      <c r="B210" s="1" t="s">
        <v>20</v>
      </c>
      <c r="C210" s="1">
        <v>2021</v>
      </c>
      <c r="D210" s="1">
        <f>23+24+39+1+0+39+20+0+44+32+0+67</f>
        <v>289</v>
      </c>
      <c r="E210" s="1">
        <f>23+24+52+1+1+39+25+7+44+32+1+67</f>
        <v>316</v>
      </c>
      <c r="F210" s="1">
        <f t="shared" si="8"/>
        <v>302.5</v>
      </c>
    </row>
    <row r="211" spans="1:6" x14ac:dyDescent="0.2">
      <c r="A211" s="1" t="s">
        <v>9</v>
      </c>
      <c r="B211" s="1" t="s">
        <v>20</v>
      </c>
      <c r="C211" s="1">
        <v>2021</v>
      </c>
      <c r="D211" s="1">
        <f>3+39+189+57+250+80+331+221+26+224+27+4+365+60+71</f>
        <v>1947</v>
      </c>
      <c r="E211" s="1">
        <f>3+39+189+59+250+80+336+221+27+266+27+4+365+60+71</f>
        <v>1997</v>
      </c>
      <c r="F211" s="1">
        <f t="shared" si="8"/>
        <v>1972</v>
      </c>
    </row>
    <row r="212" spans="1:6" x14ac:dyDescent="0.2">
      <c r="A212" s="1" t="s">
        <v>24</v>
      </c>
      <c r="B212" s="1" t="s">
        <v>20</v>
      </c>
      <c r="C212" s="1">
        <v>2021</v>
      </c>
      <c r="D212" s="1">
        <v>161</v>
      </c>
      <c r="E212" s="1">
        <v>161</v>
      </c>
      <c r="F212" s="1">
        <f t="shared" si="8"/>
        <v>161</v>
      </c>
    </row>
    <row r="213" spans="1:6" x14ac:dyDescent="0.2">
      <c r="A213" s="1" t="s">
        <v>6</v>
      </c>
      <c r="B213" s="1" t="s">
        <v>21</v>
      </c>
      <c r="C213" s="1">
        <v>2021</v>
      </c>
      <c r="D213" s="1">
        <f>13</f>
        <v>13</v>
      </c>
      <c r="E213" s="1">
        <v>14</v>
      </c>
      <c r="F213" s="1">
        <f t="shared" si="8"/>
        <v>13.5</v>
      </c>
    </row>
    <row r="214" spans="1:6" x14ac:dyDescent="0.2">
      <c r="A214" s="1" t="s">
        <v>8</v>
      </c>
      <c r="B214" s="1" t="s">
        <v>21</v>
      </c>
      <c r="C214" s="1">
        <v>2021</v>
      </c>
      <c r="D214" s="1">
        <v>12</v>
      </c>
      <c r="E214" s="1">
        <v>15</v>
      </c>
      <c r="F214" s="1">
        <f t="shared" si="8"/>
        <v>13.5</v>
      </c>
    </row>
    <row r="215" spans="1:6" x14ac:dyDescent="0.2">
      <c r="A215" s="1" t="s">
        <v>9</v>
      </c>
      <c r="B215" s="1" t="s">
        <v>21</v>
      </c>
      <c r="C215" s="1">
        <v>2021</v>
      </c>
      <c r="D215" s="1">
        <v>12</v>
      </c>
      <c r="E215" s="1">
        <v>12</v>
      </c>
      <c r="F215" s="1">
        <f t="shared" si="8"/>
        <v>12</v>
      </c>
    </row>
    <row r="216" spans="1:6" x14ac:dyDescent="0.2">
      <c r="A216" s="1" t="s">
        <v>6</v>
      </c>
      <c r="B216" s="1" t="s">
        <v>22</v>
      </c>
      <c r="C216" s="1">
        <v>2021</v>
      </c>
      <c r="D216" s="1">
        <f>83+13</f>
        <v>96</v>
      </c>
      <c r="E216" s="1">
        <v>96</v>
      </c>
      <c r="F216" s="1">
        <f t="shared" si="8"/>
        <v>96</v>
      </c>
    </row>
    <row r="217" spans="1:6" x14ac:dyDescent="0.2">
      <c r="A217" s="1" t="s">
        <v>8</v>
      </c>
      <c r="B217" s="1" t="s">
        <v>22</v>
      </c>
      <c r="C217" s="1">
        <v>2021</v>
      </c>
      <c r="D217" s="1">
        <f>24+8+7+1+2</f>
        <v>42</v>
      </c>
      <c r="E217" s="1">
        <v>42</v>
      </c>
      <c r="F217" s="1">
        <f t="shared" si="8"/>
        <v>42</v>
      </c>
    </row>
    <row r="218" spans="1:6" x14ac:dyDescent="0.2">
      <c r="A218" s="1" t="s">
        <v>8</v>
      </c>
      <c r="B218" s="1" t="s">
        <v>17</v>
      </c>
      <c r="C218" s="1">
        <v>2021</v>
      </c>
      <c r="D218" s="1">
        <v>808</v>
      </c>
      <c r="E218" s="1">
        <v>910</v>
      </c>
      <c r="F218" s="1">
        <f t="shared" si="8"/>
        <v>859</v>
      </c>
    </row>
    <row r="219" spans="1:6" x14ac:dyDescent="0.2">
      <c r="A219" s="1" t="s">
        <v>8</v>
      </c>
      <c r="B219" s="1" t="s">
        <v>18</v>
      </c>
      <c r="C219" s="1">
        <v>2021</v>
      </c>
      <c r="D219" s="1">
        <v>148</v>
      </c>
      <c r="E219" s="1">
        <v>177</v>
      </c>
      <c r="F219" s="1">
        <f t="shared" si="8"/>
        <v>162.5</v>
      </c>
    </row>
    <row r="220" spans="1:6" x14ac:dyDescent="0.2">
      <c r="A220" s="1" t="s">
        <v>8</v>
      </c>
      <c r="B220" s="1" t="s">
        <v>19</v>
      </c>
      <c r="C220" s="1">
        <v>2021</v>
      </c>
      <c r="D220" s="1">
        <v>73</v>
      </c>
      <c r="E220" s="1">
        <v>119</v>
      </c>
      <c r="F220" s="1">
        <f t="shared" si="8"/>
        <v>96</v>
      </c>
    </row>
    <row r="221" spans="1:6" x14ac:dyDescent="0.2">
      <c r="A221" s="1" t="s">
        <v>6</v>
      </c>
      <c r="B221" s="1" t="s">
        <v>15</v>
      </c>
      <c r="C221" s="1">
        <v>2021</v>
      </c>
      <c r="D221" s="1">
        <v>5839</v>
      </c>
      <c r="E221" s="1">
        <v>5839</v>
      </c>
      <c r="F221" s="1">
        <f t="shared" si="8"/>
        <v>5839</v>
      </c>
    </row>
    <row r="222" spans="1:6" x14ac:dyDescent="0.2">
      <c r="A222" s="1" t="s">
        <v>8</v>
      </c>
      <c r="B222" s="1" t="s">
        <v>12</v>
      </c>
      <c r="C222" s="1">
        <v>2021</v>
      </c>
      <c r="D222" s="1">
        <v>18892</v>
      </c>
      <c r="E222" s="1">
        <v>19042</v>
      </c>
      <c r="F222" s="1">
        <f t="shared" si="8"/>
        <v>18967</v>
      </c>
    </row>
    <row r="223" spans="1:6" x14ac:dyDescent="0.2">
      <c r="A223" s="1" t="s">
        <v>6</v>
      </c>
      <c r="B223" s="1" t="s">
        <v>7</v>
      </c>
      <c r="C223" s="1">
        <v>2021</v>
      </c>
      <c r="D223" s="1">
        <v>435</v>
      </c>
      <c r="E223" s="1">
        <v>435</v>
      </c>
      <c r="F223" s="1">
        <f t="shared" si="8"/>
        <v>435</v>
      </c>
    </row>
    <row r="224" spans="1:6" x14ac:dyDescent="0.2">
      <c r="A224" s="1" t="s">
        <v>8</v>
      </c>
      <c r="B224" s="1" t="s">
        <v>7</v>
      </c>
      <c r="C224" s="1">
        <v>2021</v>
      </c>
      <c r="D224" s="1">
        <v>318</v>
      </c>
      <c r="E224" s="1">
        <v>327</v>
      </c>
      <c r="F224" s="1">
        <f t="shared" si="8"/>
        <v>322.5</v>
      </c>
    </row>
    <row r="225" spans="1:6" x14ac:dyDescent="0.2">
      <c r="A225" s="1" t="s">
        <v>9</v>
      </c>
      <c r="B225" s="1" t="s">
        <v>7</v>
      </c>
      <c r="C225" s="1">
        <v>2021</v>
      </c>
      <c r="D225" s="1">
        <v>12</v>
      </c>
      <c r="E225" s="1">
        <v>20</v>
      </c>
      <c r="F225" s="1">
        <f t="shared" si="8"/>
        <v>16</v>
      </c>
    </row>
    <row r="226" spans="1:6" x14ac:dyDescent="0.2">
      <c r="A226" s="1" t="s">
        <v>9</v>
      </c>
      <c r="B226" s="1" t="s">
        <v>13</v>
      </c>
      <c r="C226" s="1">
        <v>2021</v>
      </c>
      <c r="D226" s="1">
        <v>2552</v>
      </c>
      <c r="E226" s="1">
        <v>2733</v>
      </c>
      <c r="F226" s="1">
        <f t="shared" si="8"/>
        <v>2642.5</v>
      </c>
    </row>
    <row r="227" spans="1:6" x14ac:dyDescent="0.2">
      <c r="A227" s="1" t="s">
        <v>8</v>
      </c>
      <c r="B227" s="1" t="s">
        <v>11</v>
      </c>
      <c r="C227" s="1">
        <v>2021</v>
      </c>
      <c r="D227" s="1">
        <v>1188</v>
      </c>
      <c r="E227" s="1">
        <v>1267</v>
      </c>
      <c r="F227" s="1">
        <f t="shared" si="8"/>
        <v>1227.5</v>
      </c>
    </row>
    <row r="228" spans="1:6" x14ac:dyDescent="0.2">
      <c r="A228" s="1" t="s">
        <v>9</v>
      </c>
      <c r="B228" s="1" t="s">
        <v>11</v>
      </c>
      <c r="C228" s="1">
        <v>2021</v>
      </c>
      <c r="D228" s="1">
        <v>6</v>
      </c>
      <c r="E228" s="1">
        <v>7</v>
      </c>
      <c r="F228" s="1">
        <f t="shared" si="8"/>
        <v>6.5</v>
      </c>
    </row>
    <row r="229" spans="1:6" x14ac:dyDescent="0.2">
      <c r="A229" s="1" t="s">
        <v>8</v>
      </c>
      <c r="B229" s="1" t="s">
        <v>10</v>
      </c>
      <c r="C229" s="1">
        <v>2021</v>
      </c>
      <c r="D229" s="1">
        <v>360</v>
      </c>
      <c r="E229" s="1">
        <v>772</v>
      </c>
      <c r="F229" s="1">
        <f t="shared" si="8"/>
        <v>566</v>
      </c>
    </row>
    <row r="230" spans="1:6" x14ac:dyDescent="0.2">
      <c r="A230" s="1" t="s">
        <v>9</v>
      </c>
      <c r="B230" s="1" t="s">
        <v>10</v>
      </c>
      <c r="C230" s="1">
        <v>2021</v>
      </c>
      <c r="D230" s="1" t="s">
        <v>23</v>
      </c>
      <c r="E230" s="1" t="s">
        <v>23</v>
      </c>
      <c r="F230" s="1" t="s">
        <v>23</v>
      </c>
    </row>
    <row r="231" spans="1:6" x14ac:dyDescent="0.2">
      <c r="A231" s="1" t="s">
        <v>9</v>
      </c>
      <c r="B231" s="1" t="s">
        <v>15</v>
      </c>
      <c r="C231" s="1">
        <v>2021</v>
      </c>
      <c r="D231" s="1" t="s">
        <v>23</v>
      </c>
      <c r="E231" s="1" t="s">
        <v>23</v>
      </c>
      <c r="F231" s="1" t="s">
        <v>23</v>
      </c>
    </row>
    <row r="232" spans="1:6" x14ac:dyDescent="0.2">
      <c r="A232" s="1" t="s">
        <v>6</v>
      </c>
      <c r="B232" s="1" t="s">
        <v>13</v>
      </c>
      <c r="C232" s="1">
        <v>2021</v>
      </c>
      <c r="D232" s="1">
        <v>3337</v>
      </c>
      <c r="E232" s="1">
        <v>3374</v>
      </c>
      <c r="F232" s="1">
        <f>AVERAGE(D232:E232)</f>
        <v>3355.5</v>
      </c>
    </row>
    <row r="233" spans="1:6" x14ac:dyDescent="0.2">
      <c r="A233" s="1" t="s">
        <v>30</v>
      </c>
      <c r="B233" s="1" t="s">
        <v>25</v>
      </c>
      <c r="C233" s="1">
        <v>2021</v>
      </c>
      <c r="D233" s="1">
        <v>52</v>
      </c>
      <c r="E233" s="1">
        <v>52</v>
      </c>
      <c r="F233" s="1">
        <v>52</v>
      </c>
    </row>
    <row r="234" spans="1:6" x14ac:dyDescent="0.2">
      <c r="A234" s="1" t="s">
        <v>30</v>
      </c>
      <c r="B234" s="1" t="s">
        <v>26</v>
      </c>
      <c r="C234" s="1">
        <v>2021</v>
      </c>
      <c r="D234" s="1">
        <v>1683</v>
      </c>
      <c r="E234" s="1">
        <v>1683</v>
      </c>
      <c r="F234" s="1">
        <v>1683</v>
      </c>
    </row>
    <row r="235" spans="1:6" x14ac:dyDescent="0.2">
      <c r="A235" s="1" t="s">
        <v>30</v>
      </c>
      <c r="B235" s="1" t="s">
        <v>27</v>
      </c>
      <c r="C235" s="1">
        <v>2021</v>
      </c>
      <c r="D235" s="1">
        <v>7401</v>
      </c>
      <c r="E235" s="1">
        <v>7401</v>
      </c>
      <c r="F235" s="1">
        <v>7401</v>
      </c>
    </row>
    <row r="236" spans="1:6" x14ac:dyDescent="0.2">
      <c r="A236" s="1" t="s">
        <v>30</v>
      </c>
      <c r="B236" s="1" t="s">
        <v>28</v>
      </c>
      <c r="C236" s="1">
        <v>2021</v>
      </c>
      <c r="D236" s="1">
        <v>3733</v>
      </c>
      <c r="E236" s="1">
        <v>3733</v>
      </c>
      <c r="F236" s="1">
        <v>3733</v>
      </c>
    </row>
    <row r="237" spans="1:6" x14ac:dyDescent="0.2">
      <c r="A237" s="1" t="s">
        <v>30</v>
      </c>
      <c r="B237" s="1" t="s">
        <v>22</v>
      </c>
      <c r="C237" s="1">
        <v>2021</v>
      </c>
      <c r="D237" s="1">
        <v>1088</v>
      </c>
      <c r="E237" s="1">
        <v>1088</v>
      </c>
      <c r="F237" s="1">
        <v>1088</v>
      </c>
    </row>
    <row r="238" spans="1:6" x14ac:dyDescent="0.2">
      <c r="A238" s="1" t="s">
        <v>30</v>
      </c>
      <c r="B238" s="1" t="s">
        <v>20</v>
      </c>
      <c r="C238" s="1">
        <v>2021</v>
      </c>
      <c r="D238" s="1">
        <v>2412</v>
      </c>
      <c r="E238" s="1">
        <v>2412</v>
      </c>
      <c r="F238" s="1">
        <v>2412</v>
      </c>
    </row>
    <row r="239" spans="1:6" x14ac:dyDescent="0.2">
      <c r="A239" s="1" t="s">
        <v>30</v>
      </c>
      <c r="B239" s="1" t="s">
        <v>29</v>
      </c>
      <c r="C239" s="1">
        <v>2021</v>
      </c>
      <c r="D239" s="1">
        <v>1879</v>
      </c>
      <c r="E239" s="1">
        <v>1879</v>
      </c>
      <c r="F239" s="1">
        <v>1879</v>
      </c>
    </row>
    <row r="240" spans="1:6" x14ac:dyDescent="0.2">
      <c r="A240" s="1" t="s">
        <v>30</v>
      </c>
      <c r="B240" s="1" t="s">
        <v>16</v>
      </c>
      <c r="C240" s="1">
        <v>2021</v>
      </c>
      <c r="D240" s="1">
        <v>2458</v>
      </c>
      <c r="E240" s="1">
        <v>2458</v>
      </c>
      <c r="F240" s="1">
        <v>2458</v>
      </c>
    </row>
  </sheetData>
  <autoFilter ref="A1:F240" xr:uid="{23967409-A181-47EE-8C1D-2299B2E4A692}"/>
  <sortState xmlns:xlrd2="http://schemas.microsoft.com/office/spreadsheetml/2017/richdata2" ref="A2:F278">
    <sortCondition ref="C2:C2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Jourdan</dc:creator>
  <cp:lastModifiedBy>Microsoft Office User</cp:lastModifiedBy>
  <dcterms:created xsi:type="dcterms:W3CDTF">2023-04-27T09:03:08Z</dcterms:created>
  <dcterms:modified xsi:type="dcterms:W3CDTF">2023-05-25T15:00:17Z</dcterms:modified>
</cp:coreProperties>
</file>